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2288" windowHeight="6372" tabRatio="712" activeTab="8"/>
  </bookViews>
  <sheets>
    <sheet name="88-91水費" sheetId="1" r:id="rId1"/>
    <sheet name="88-91電費" sheetId="2" r:id="rId2"/>
    <sheet name="88-91瓦斯費" sheetId="3" r:id="rId3"/>
    <sheet name="91-107水費" sheetId="4" r:id="rId4"/>
    <sheet name="91-107電費" sheetId="5" r:id="rId5"/>
    <sheet name="91-107瓦斯費" sheetId="6" r:id="rId6"/>
    <sheet name="108-109水費" sheetId="7" r:id="rId7"/>
    <sheet name="108-109電費" sheetId="8" r:id="rId8"/>
    <sheet name="108-109瓦斯費" sheetId="9" r:id="rId9"/>
  </sheets>
  <definedNames>
    <definedName name="_xlnm.Print_Area" localSheetId="2">'88-91瓦斯費'!$A$1:$T$76</definedName>
    <definedName name="_xlnm.Print_Area" localSheetId="5">'91-107瓦斯費'!$A$1:$X$341</definedName>
  </definedNames>
  <calcPr fullCalcOnLoad="1"/>
</workbook>
</file>

<file path=xl/sharedStrings.xml><?xml version="1.0" encoding="utf-8"?>
<sst xmlns="http://schemas.openxmlformats.org/spreadsheetml/2006/main" count="2398" uniqueCount="626">
  <si>
    <t>平齋</t>
  </si>
  <si>
    <t>明齋</t>
  </si>
  <si>
    <t>善齋</t>
  </si>
  <si>
    <t>華齋</t>
  </si>
  <si>
    <t>仁齋</t>
  </si>
  <si>
    <t>實齋</t>
  </si>
  <si>
    <t>碩齋</t>
  </si>
  <si>
    <t>禮齋</t>
  </si>
  <si>
    <t>信齋</t>
  </si>
  <si>
    <t>誠齋</t>
  </si>
  <si>
    <t>義齋</t>
  </si>
  <si>
    <t>鴻齋</t>
  </si>
  <si>
    <t>清齋</t>
  </si>
  <si>
    <t>新齋</t>
  </si>
  <si>
    <t>文齋</t>
  </si>
  <si>
    <t>雅齋</t>
  </si>
  <si>
    <t>靜齋</t>
  </si>
  <si>
    <t>慧齋</t>
  </si>
  <si>
    <t>年/月</t>
  </si>
  <si>
    <r>
      <t>88年9月</t>
    </r>
  </si>
  <si>
    <r>
      <t>88年10月</t>
    </r>
  </si>
  <si>
    <r>
      <t>88年11月</t>
    </r>
  </si>
  <si>
    <r>
      <t>88年12月</t>
    </r>
  </si>
  <si>
    <r>
      <t>89年1月</t>
    </r>
  </si>
  <si>
    <r>
      <t>89年2月</t>
    </r>
  </si>
  <si>
    <r>
      <t>89年3月</t>
    </r>
  </si>
  <si>
    <t>89年4月</t>
  </si>
  <si>
    <r>
      <t>89年5月</t>
    </r>
  </si>
  <si>
    <t>89年6月</t>
  </si>
  <si>
    <r>
      <t>89年7月</t>
    </r>
  </si>
  <si>
    <t>89年8月</t>
  </si>
  <si>
    <r>
      <t>89年9月</t>
    </r>
  </si>
  <si>
    <t>89年10月</t>
  </si>
  <si>
    <r>
      <t>89年11月</t>
    </r>
  </si>
  <si>
    <t>89年12月</t>
  </si>
  <si>
    <r>
      <t>90年1月</t>
    </r>
  </si>
  <si>
    <r>
      <t>90年2月</t>
    </r>
  </si>
  <si>
    <r>
      <t>90年3月</t>
    </r>
  </si>
  <si>
    <r>
      <t>90年4月</t>
    </r>
  </si>
  <si>
    <r>
      <t>90年5月</t>
    </r>
  </si>
  <si>
    <r>
      <t>90年6月</t>
    </r>
  </si>
  <si>
    <r>
      <t>90年7月</t>
    </r>
  </si>
  <si>
    <r>
      <t>90年8月</t>
    </r>
  </si>
  <si>
    <r>
      <t>90年9月</t>
    </r>
  </si>
  <si>
    <r>
      <t>90年10月</t>
    </r>
  </si>
  <si>
    <r>
      <t>90年11月</t>
    </r>
  </si>
  <si>
    <r>
      <t>90年12月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</si>
  <si>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</si>
  <si>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</si>
  <si>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</si>
  <si>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</si>
  <si>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</si>
  <si>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</si>
  <si>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</si>
  <si>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</si>
  <si>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</si>
  <si>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</si>
  <si>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</si>
  <si>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</si>
  <si>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</si>
  <si>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</si>
  <si>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</si>
  <si>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</si>
  <si>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</si>
  <si>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</si>
  <si>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</si>
  <si>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</si>
  <si>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</si>
  <si>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t>總宿舍區度數</t>
  </si>
  <si>
    <r>
      <t>文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慧齋</t>
    </r>
  </si>
  <si>
    <r>
      <t>仁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實齋</t>
    </r>
  </si>
  <si>
    <t>每月平均</t>
  </si>
  <si>
    <r>
      <t>平</t>
    </r>
    <r>
      <rPr>
        <sz val="12"/>
        <rFont val="新細明體"/>
        <family val="1"/>
      </rPr>
      <t>明齋</t>
    </r>
  </si>
  <si>
    <r>
      <t>誠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清齋</t>
    </r>
  </si>
  <si>
    <t>總計</t>
  </si>
  <si>
    <r>
      <t>靜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慧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文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雅齋</t>
    </r>
  </si>
  <si>
    <t>每學期</t>
  </si>
  <si>
    <t>學生宿舍區歷年瓦斯度數</t>
  </si>
  <si>
    <t>學生宿舍區歷年水表度數</t>
  </si>
  <si>
    <t>學生宿舍區歷年電錶度數</t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</si>
  <si>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</si>
  <si>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</si>
  <si>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</si>
  <si>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</si>
  <si>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</si>
  <si>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</si>
  <si>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</si>
  <si>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</si>
  <si>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</si>
  <si>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</si>
  <si>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</si>
  <si>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</si>
  <si>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</si>
  <si>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</si>
  <si>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</si>
  <si>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</si>
  <si>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</si>
  <si>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</si>
  <si>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</si>
  <si>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</si>
  <si>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</si>
  <si>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</si>
  <si>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</si>
  <si>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</si>
  <si>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</si>
  <si>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</si>
  <si>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</si>
  <si>
    <t>88年總計</t>
  </si>
  <si>
    <t>89年總計</t>
  </si>
  <si>
    <t>90年總計</t>
  </si>
  <si>
    <t>91年總計</t>
  </si>
  <si>
    <r>
      <t>91</t>
    </r>
    <r>
      <rPr>
        <sz val="12"/>
        <rFont val="細明體"/>
        <family val="3"/>
      </rPr>
      <t>年總計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</si>
  <si>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</si>
  <si>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</si>
  <si>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</si>
  <si>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</si>
  <si>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</si>
  <si>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</si>
  <si>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</si>
  <si>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</si>
  <si>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</si>
  <si>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</si>
  <si>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</si>
  <si>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</si>
  <si>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</si>
  <si>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</si>
  <si>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</si>
  <si>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</si>
  <si>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</si>
  <si>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</si>
  <si>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</si>
  <si>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</si>
  <si>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</si>
  <si>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</si>
  <si>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總宿舍區度數</t>
  </si>
  <si>
    <t>每人每月平均</t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</si>
  <si>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</si>
  <si>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</si>
  <si>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文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慧齋</t>
    </r>
  </si>
  <si>
    <r>
      <t>誠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清齋</t>
    </r>
  </si>
  <si>
    <r>
      <t>靜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慧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文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雅齋</t>
    </r>
  </si>
  <si>
    <t>每人每學期</t>
  </si>
  <si>
    <t>每人每學期</t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</si>
  <si>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</si>
  <si>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</si>
  <si>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</si>
  <si>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</si>
  <si>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</si>
  <si>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</si>
  <si>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</si>
  <si>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</si>
  <si>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</si>
  <si>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</si>
  <si>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</si>
  <si>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</si>
  <si>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</si>
  <si>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</si>
  <si>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</si>
  <si>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</si>
  <si>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</si>
  <si>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</si>
  <si>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</si>
  <si>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</si>
  <si>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</si>
  <si>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</si>
  <si>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</si>
  <si>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</si>
  <si>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</si>
  <si>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</si>
  <si>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</si>
  <si>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</si>
  <si>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</si>
  <si>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</si>
  <si>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</si>
  <si>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</si>
  <si>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</si>
  <si>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</si>
  <si>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</si>
  <si>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</si>
  <si>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</si>
  <si>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</si>
  <si>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</si>
  <si>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</si>
  <si>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</si>
  <si>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</si>
  <si>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</si>
  <si>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</si>
  <si>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</si>
  <si>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</si>
  <si>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</si>
  <si>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</si>
  <si>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誠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清齋</t>
    </r>
  </si>
  <si>
    <r>
      <t>靜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慧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文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雅齋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</si>
  <si>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</si>
  <si>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</si>
  <si>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</si>
  <si>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</si>
  <si>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</si>
  <si>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</si>
  <si>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</si>
  <si>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</si>
  <si>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</si>
  <si>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</si>
  <si>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</si>
  <si>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</si>
  <si>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</si>
  <si>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</si>
  <si>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</si>
  <si>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</si>
  <si>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</si>
  <si>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</si>
  <si>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</si>
  <si>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</si>
  <si>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</si>
  <si>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</si>
  <si>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</si>
  <si>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</si>
  <si>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學齋</t>
  </si>
  <si>
    <t>儒齋</t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</si>
  <si>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</si>
  <si>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</si>
  <si>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</si>
  <si>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</si>
  <si>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</si>
  <si>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</si>
  <si>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</si>
  <si>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</si>
  <si>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</si>
  <si>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</si>
  <si>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</si>
  <si>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</si>
  <si>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</si>
  <si>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</si>
  <si>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</si>
  <si>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</si>
  <si>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</si>
  <si>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</si>
  <si>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</si>
  <si>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</si>
  <si>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</si>
  <si>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</si>
  <si>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</si>
  <si>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</si>
  <si>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學齋</t>
  </si>
  <si>
    <t>儒齋</t>
  </si>
  <si>
    <t xml:space="preserve"> </t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</si>
  <si>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</si>
  <si>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</si>
  <si>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</si>
  <si>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</si>
  <si>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</si>
  <si>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</si>
  <si>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</si>
  <si>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</si>
  <si>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</si>
  <si>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</si>
  <si>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</si>
  <si>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</si>
  <si>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</si>
  <si>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</si>
  <si>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</si>
  <si>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</si>
  <si>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</si>
  <si>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</si>
  <si>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</si>
  <si>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</si>
  <si>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</si>
  <si>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</si>
  <si>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</si>
  <si>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</si>
  <si>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</si>
  <si>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</si>
  <si>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</si>
  <si>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</si>
  <si>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</si>
  <si>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</si>
  <si>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</si>
  <si>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</si>
  <si>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</si>
  <si>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</si>
  <si>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</si>
  <si>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</si>
  <si>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</si>
  <si>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</si>
  <si>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</si>
  <si>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</si>
  <si>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</si>
  <si>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</si>
  <si>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</si>
  <si>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</si>
  <si>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</si>
  <si>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</si>
  <si>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</si>
  <si>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</si>
  <si>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平均單價</t>
  </si>
  <si>
    <t>每月平均度數</t>
  </si>
  <si>
    <t>平均每人每學期耗用金額</t>
  </si>
  <si>
    <t>每人每月平均用量</t>
  </si>
  <si>
    <t>平均每人每月金額</t>
  </si>
  <si>
    <t>單價</t>
  </si>
  <si>
    <r>
      <t>誠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齋</t>
    </r>
  </si>
  <si>
    <t>學生宿舍區歷年水表度數統計表</t>
  </si>
  <si>
    <t>學生宿舍區歷年電錶度數統計表</t>
  </si>
  <si>
    <t>學生宿舍區歷年瓦斯度數統計表</t>
  </si>
  <si>
    <t>說明:因部份齋舍電錶未將冷氣及一般用電分開,因此上列電費包含學生使用冷氣機自行付費之電費。</t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</si>
  <si>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</si>
  <si>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</si>
  <si>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</si>
  <si>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</si>
  <si>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</si>
  <si>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</si>
  <si>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</si>
  <si>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</si>
  <si>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</si>
  <si>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</si>
  <si>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</si>
  <si>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</si>
  <si>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施工</t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</si>
  <si>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</si>
  <si>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</si>
  <si>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</si>
  <si>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</si>
  <si>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</si>
  <si>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</si>
  <si>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</si>
  <si>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</si>
  <si>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</si>
  <si>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</si>
  <si>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</si>
  <si>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</si>
  <si>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</si>
  <si>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</si>
  <si>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</si>
  <si>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</si>
  <si>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</si>
  <si>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</si>
  <si>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</si>
  <si>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</si>
  <si>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</si>
  <si>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</si>
  <si>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</si>
  <si>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</si>
  <si>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</si>
  <si>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</si>
  <si>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</si>
  <si>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</si>
  <si>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</si>
  <si>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</si>
  <si>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</si>
  <si>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</si>
  <si>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</si>
  <si>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</si>
  <si>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</si>
  <si>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</si>
  <si>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</si>
  <si>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</si>
  <si>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</si>
  <si>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</si>
  <si>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</si>
  <si>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</si>
  <si>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</si>
  <si>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</si>
  <si>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</si>
  <si>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</si>
  <si>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</si>
  <si>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</si>
  <si>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</si>
  <si>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</si>
  <si>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</si>
  <si>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</si>
  <si>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</si>
  <si>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</si>
  <si>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</si>
  <si>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</si>
  <si>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</si>
  <si>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</si>
  <si>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</si>
  <si>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</si>
  <si>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</si>
  <si>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</si>
  <si>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</si>
  <si>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</si>
  <si>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</si>
  <si>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</si>
  <si>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</si>
  <si>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</si>
  <si>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</si>
  <si>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</si>
  <si>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</si>
  <si>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</si>
  <si>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</si>
  <si>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</si>
  <si>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</si>
  <si>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</si>
  <si>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</si>
  <si>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</si>
  <si>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</si>
  <si>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</si>
  <si>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</si>
  <si>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</si>
  <si>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</si>
  <si>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</si>
  <si>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</si>
  <si>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</si>
  <si>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</si>
  <si>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費用</t>
  </si>
  <si>
    <t>15.34</t>
  </si>
  <si>
    <t>15.30</t>
  </si>
  <si>
    <t>15.30</t>
  </si>
  <si>
    <t>15.34</t>
  </si>
  <si>
    <t>每月平均度數</t>
  </si>
  <si>
    <t>單價</t>
  </si>
  <si>
    <t>平均每人每月金額</t>
  </si>
  <si>
    <t>備註:101年7月前單價2.8，7月後3.5，取平均值3.09</t>
  </si>
  <si>
    <t>15.34</t>
  </si>
  <si>
    <t>14.31</t>
  </si>
  <si>
    <t>15.30</t>
  </si>
  <si>
    <t>13.58</t>
  </si>
  <si>
    <t>15.30</t>
  </si>
  <si>
    <t>13.58</t>
  </si>
  <si>
    <t>15.30</t>
  </si>
  <si>
    <t>15.30</t>
  </si>
  <si>
    <t>13.27</t>
  </si>
  <si>
    <t>12.68</t>
  </si>
  <si>
    <t>15.30</t>
  </si>
  <si>
    <t>12.68</t>
  </si>
  <si>
    <t>15.30</t>
  </si>
  <si>
    <t>12.19</t>
  </si>
  <si>
    <t>15.30</t>
  </si>
  <si>
    <t>12.19</t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</si>
  <si>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</si>
  <si>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</si>
  <si>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</si>
  <si>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</si>
  <si>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</si>
  <si>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</si>
  <si>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</si>
  <si>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</si>
  <si>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</si>
  <si>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</si>
  <si>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</si>
  <si>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</si>
  <si>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</si>
  <si>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</si>
  <si>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</si>
  <si>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</si>
  <si>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</si>
  <si>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</si>
  <si>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</si>
  <si>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</si>
  <si>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</si>
  <si>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</si>
  <si>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</si>
  <si>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</si>
  <si>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15.3</t>
  </si>
  <si>
    <t>15.3</t>
  </si>
  <si>
    <t>11.17</t>
  </si>
  <si>
    <t>15.3</t>
  </si>
  <si>
    <t>10.93</t>
  </si>
  <si>
    <t>10.75</t>
  </si>
  <si>
    <t>15.3</t>
  </si>
  <si>
    <t>15.3</t>
  </si>
  <si>
    <t>10.38</t>
  </si>
  <si>
    <t>13.58</t>
  </si>
  <si>
    <t>10.87</t>
  </si>
  <si>
    <t>15.3</t>
  </si>
  <si>
    <t>仁、鴻換新水表前有先預估一個月，目前未到當初預估值，故目前為0</t>
  </si>
  <si>
    <t>10.87</t>
  </si>
  <si>
    <t>15.3</t>
  </si>
  <si>
    <t>10.64</t>
  </si>
  <si>
    <t>10.89</t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</si>
  <si>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</si>
  <si>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</si>
  <si>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</si>
  <si>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</si>
  <si>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</si>
  <si>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</si>
  <si>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</si>
  <si>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</si>
  <si>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</si>
  <si>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</si>
  <si>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</si>
  <si>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</si>
  <si>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</si>
  <si>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</si>
  <si>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</si>
  <si>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</si>
  <si>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</si>
  <si>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</si>
  <si>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</si>
  <si>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</si>
  <si>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</si>
  <si>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</si>
  <si>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</si>
  <si>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</si>
  <si>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15.3</t>
  </si>
  <si>
    <t>11.14</t>
  </si>
  <si>
    <t>11.14</t>
  </si>
  <si>
    <t>15.3</t>
  </si>
  <si>
    <t>11.4</t>
  </si>
  <si>
    <t>15.3</t>
  </si>
  <si>
    <t>實齋共用仁齋水表</t>
  </si>
  <si>
    <t>文、靜齋3月調整因105.6-106.2水表抄錯</t>
  </si>
  <si>
    <t>15.3</t>
  </si>
  <si>
    <t>11.68</t>
  </si>
  <si>
    <t>11.68</t>
  </si>
  <si>
    <t>誠4月多抄逐月扣減</t>
  </si>
  <si>
    <t>15.3</t>
  </si>
  <si>
    <t>15.3</t>
  </si>
  <si>
    <t>11.96</t>
  </si>
  <si>
    <t>15.3</t>
  </si>
  <si>
    <t>清齋106年7月份因水表故障待觀察</t>
  </si>
  <si>
    <t>12.24</t>
  </si>
  <si>
    <t>15.3</t>
  </si>
  <si>
    <t>12.24</t>
  </si>
  <si>
    <t>15.3</t>
  </si>
  <si>
    <t>12.24</t>
  </si>
  <si>
    <t>15.3</t>
  </si>
  <si>
    <t>12.54</t>
  </si>
  <si>
    <t>15.3</t>
  </si>
  <si>
    <t>12.85</t>
  </si>
  <si>
    <t>15.3</t>
  </si>
  <si>
    <t>12.85</t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</si>
  <si>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</si>
  <si>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</si>
  <si>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t>校本部宿舍區
總度數</t>
  </si>
  <si>
    <t>南大男宿</t>
  </si>
  <si>
    <t>南大女宿</t>
  </si>
  <si>
    <t>南大宿舍區
總度數</t>
  </si>
  <si>
    <t>費用</t>
  </si>
  <si>
    <t>15.3</t>
  </si>
  <si>
    <t>南大男宿</t>
  </si>
  <si>
    <t>南大女宿</t>
  </si>
  <si>
    <t>南大宿舍區
總度數</t>
  </si>
  <si>
    <t>費用</t>
  </si>
  <si>
    <t>12.8</t>
  </si>
  <si>
    <t>校本部宿舍區總度數</t>
  </si>
  <si>
    <r>
      <t>107</t>
    </r>
    <r>
      <rPr>
        <sz val="12"/>
        <rFont val="細明體"/>
        <family val="3"/>
      </rPr>
      <t>年2月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</si>
  <si>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</si>
  <si>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</si>
  <si>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t>15.3</t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</si>
  <si>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</si>
  <si>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</si>
  <si>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107</t>
    </r>
    <r>
      <rPr>
        <sz val="12"/>
        <rFont val="細明體"/>
        <family val="3"/>
      </rPr>
      <t>年3月</t>
    </r>
  </si>
  <si>
    <t>15.3</t>
  </si>
  <si>
    <r>
      <t>107</t>
    </r>
    <r>
      <rPr>
        <sz val="12"/>
        <rFont val="細明體"/>
        <family val="3"/>
      </rPr>
      <t>年4月</t>
    </r>
  </si>
  <si>
    <r>
      <t>107</t>
    </r>
    <r>
      <rPr>
        <sz val="12"/>
        <rFont val="細明體"/>
        <family val="3"/>
      </rPr>
      <t>年5月</t>
    </r>
  </si>
  <si>
    <r>
      <t>107</t>
    </r>
    <r>
      <rPr>
        <sz val="12"/>
        <rFont val="細明體"/>
        <family val="3"/>
      </rPr>
      <t>年6月</t>
    </r>
  </si>
  <si>
    <r>
      <t>107</t>
    </r>
    <r>
      <rPr>
        <sz val="12"/>
        <rFont val="細明體"/>
        <family val="3"/>
      </rPr>
      <t>年7月</t>
    </r>
  </si>
  <si>
    <r>
      <t>107</t>
    </r>
    <r>
      <rPr>
        <sz val="12"/>
        <rFont val="細明體"/>
        <family val="3"/>
      </rPr>
      <t>年8月</t>
    </r>
  </si>
  <si>
    <r>
      <t>107</t>
    </r>
    <r>
      <rPr>
        <sz val="12"/>
        <rFont val="細明體"/>
        <family val="3"/>
      </rPr>
      <t>年9月</t>
    </r>
  </si>
  <si>
    <r>
      <t>107</t>
    </r>
    <r>
      <rPr>
        <sz val="12"/>
        <rFont val="細明體"/>
        <family val="3"/>
      </rPr>
      <t>年10月</t>
    </r>
  </si>
  <si>
    <r>
      <t>107</t>
    </r>
    <r>
      <rPr>
        <sz val="12"/>
        <rFont val="細明體"/>
        <family val="3"/>
      </rPr>
      <t>年11月</t>
    </r>
  </si>
  <si>
    <r>
      <t>107</t>
    </r>
    <r>
      <rPr>
        <sz val="12"/>
        <rFont val="細明體"/>
        <family val="3"/>
      </rPr>
      <t>年12月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</si>
  <si>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</si>
  <si>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</si>
  <si>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</si>
  <si>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</si>
  <si>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</si>
  <si>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</si>
  <si>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</si>
  <si>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</si>
  <si>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</si>
  <si>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</si>
  <si>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</si>
  <si>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</si>
  <si>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</si>
  <si>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</si>
  <si>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</si>
  <si>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</si>
  <si>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</si>
  <si>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</si>
  <si>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13.74</t>
  </si>
  <si>
    <t>41.05</t>
  </si>
  <si>
    <t>15.3</t>
  </si>
  <si>
    <t>15.3</t>
  </si>
  <si>
    <t>15.3</t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</si>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</sst>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_ "/>
    <numFmt numFmtId="179" formatCode="0.0_ "/>
    <numFmt numFmtId="180" formatCode="0.0_);[Red]\(0.0\)"/>
    <numFmt numFmtId="181" formatCode="#,##0.0_);[Red]\(#,##0.0\)"/>
    <numFmt numFmtId="182" formatCode="#,##0.0_ "/>
    <numFmt numFmtId="183" formatCode="#,##0_);[Red]\(#,##0\)"/>
    <numFmt numFmtId="184" formatCode="#,##0.00_ "/>
    <numFmt numFmtId="185" formatCode="#,##0.000_ "/>
    <numFmt numFmtId="186" formatCode="#,##0.0000_ "/>
    <numFmt numFmtId="187" formatCode="#,##0.00000_ "/>
    <numFmt numFmtId="188" formatCode="_-* #,##0.0_-;\-* #,##0.0_-;_-* &quot;-&quot;??_-;_-@_-"/>
    <numFmt numFmtId="189" formatCode="_-* #,##0_-;\-* #,##0_-;_-* &quot;-&quot;??_-;_-@_-"/>
  </numFmts>
  <fonts count="50">
    <font>
      <sz val="1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8"/>
      <name val="細明體"/>
      <family val="3"/>
    </font>
    <font>
      <sz val="9"/>
      <name val="Times New Roman"/>
      <family val="1"/>
    </font>
    <font>
      <sz val="6"/>
      <name val="新細明體"/>
      <family val="1"/>
    </font>
    <font>
      <sz val="6"/>
      <name val="Times New Roman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2"/>
      <color indexed="10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2">
    <xf numFmtId="176" fontId="0" fillId="0" borderId="0" xfId="0" applyAlignment="1">
      <alignment/>
    </xf>
    <xf numFmtId="176" fontId="2" fillId="0" borderId="0" xfId="0" applyFont="1" applyBorder="1" applyAlignment="1">
      <alignment/>
    </xf>
    <xf numFmtId="176" fontId="2" fillId="0" borderId="10" xfId="0" applyFont="1" applyBorder="1" applyAlignment="1">
      <alignment/>
    </xf>
    <xf numFmtId="176" fontId="4" fillId="0" borderId="10" xfId="0" applyFont="1" applyBorder="1" applyAlignment="1">
      <alignment/>
    </xf>
    <xf numFmtId="176" fontId="2" fillId="0" borderId="10" xfId="0" applyFont="1" applyBorder="1" applyAlignment="1">
      <alignment/>
    </xf>
    <xf numFmtId="176" fontId="2" fillId="0" borderId="10" xfId="0" applyFont="1" applyFill="1" applyBorder="1" applyAlignment="1">
      <alignment/>
    </xf>
    <xf numFmtId="176" fontId="3" fillId="0" borderId="10" xfId="0" applyFont="1" applyBorder="1" applyAlignment="1">
      <alignment/>
    </xf>
    <xf numFmtId="176" fontId="3" fillId="0" borderId="10" xfId="0" applyFont="1" applyFill="1" applyBorder="1" applyAlignment="1">
      <alignment/>
    </xf>
    <xf numFmtId="176" fontId="2" fillId="0" borderId="0" xfId="0" applyFont="1" applyBorder="1" applyAlignment="1">
      <alignment horizontal="center" vertical="center"/>
    </xf>
    <xf numFmtId="176" fontId="2" fillId="0" borderId="10" xfId="0" applyFont="1" applyBorder="1" applyAlignment="1">
      <alignment horizontal="center" vertical="center"/>
    </xf>
    <xf numFmtId="176" fontId="4" fillId="0" borderId="10" xfId="0" applyFont="1" applyBorder="1" applyAlignment="1">
      <alignment horizontal="center" vertical="center"/>
    </xf>
    <xf numFmtId="176" fontId="2" fillId="0" borderId="10" xfId="0" applyFont="1" applyFill="1" applyBorder="1" applyAlignment="1">
      <alignment horizontal="center" vertical="center"/>
    </xf>
    <xf numFmtId="176" fontId="3" fillId="0" borderId="10" xfId="0" applyFont="1" applyBorder="1" applyAlignment="1">
      <alignment horizontal="center" vertical="center"/>
    </xf>
    <xf numFmtId="176" fontId="3" fillId="0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5" fillId="33" borderId="10" xfId="0" applyFont="1" applyFill="1" applyBorder="1" applyAlignment="1">
      <alignment horizontal="center" vertical="center"/>
    </xf>
    <xf numFmtId="176" fontId="2" fillId="0" borderId="10" xfId="0" applyFont="1" applyBorder="1" applyAlignment="1">
      <alignment horizontal="center"/>
    </xf>
    <xf numFmtId="176" fontId="1" fillId="0" borderId="10" xfId="0" applyFont="1" applyBorder="1" applyAlignment="1">
      <alignment horizontal="center"/>
    </xf>
    <xf numFmtId="176" fontId="5" fillId="33" borderId="10" xfId="0" applyFont="1" applyFill="1" applyBorder="1" applyAlignment="1">
      <alignment/>
    </xf>
    <xf numFmtId="176" fontId="8" fillId="0" borderId="10" xfId="0" applyFont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/>
    </xf>
    <xf numFmtId="183" fontId="11" fillId="33" borderId="10" xfId="0" applyNumberFormat="1" applyFont="1" applyFill="1" applyBorder="1" applyAlignment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182" fontId="6" fillId="34" borderId="0" xfId="0" applyNumberFormat="1" applyFont="1" applyFill="1" applyBorder="1" applyAlignment="1">
      <alignment horizontal="center" vertical="center"/>
    </xf>
    <xf numFmtId="182" fontId="2" fillId="34" borderId="0" xfId="0" applyNumberFormat="1" applyFont="1" applyFill="1" applyBorder="1" applyAlignment="1">
      <alignment horizontal="center" vertical="center"/>
    </xf>
    <xf numFmtId="182" fontId="4" fillId="34" borderId="0" xfId="0" applyNumberFormat="1" applyFont="1" applyFill="1" applyBorder="1" applyAlignment="1">
      <alignment horizontal="center" vertical="center"/>
    </xf>
    <xf numFmtId="176" fontId="2" fillId="34" borderId="0" xfId="0" applyFont="1" applyFill="1" applyBorder="1" applyAlignment="1">
      <alignment horizontal="center" vertical="center"/>
    </xf>
    <xf numFmtId="176" fontId="2" fillId="0" borderId="0" xfId="0" applyFont="1" applyBorder="1" applyAlignment="1">
      <alignment/>
    </xf>
    <xf numFmtId="182" fontId="2" fillId="33" borderId="11" xfId="0" applyNumberFormat="1" applyFont="1" applyFill="1" applyBorder="1" applyAlignment="1">
      <alignment horizontal="center" vertical="center"/>
    </xf>
    <xf numFmtId="182" fontId="5" fillId="33" borderId="11" xfId="0" applyNumberFormat="1" applyFont="1" applyFill="1" applyBorder="1" applyAlignment="1">
      <alignment horizontal="center" vertical="center"/>
    </xf>
    <xf numFmtId="176" fontId="2" fillId="0" borderId="0" xfId="0" applyFont="1" applyBorder="1" applyAlignment="1">
      <alignment horizontal="left" vertical="center"/>
    </xf>
    <xf numFmtId="181" fontId="2" fillId="34" borderId="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/>
    </xf>
    <xf numFmtId="176" fontId="2" fillId="34" borderId="0" xfId="0" applyFont="1" applyFill="1" applyBorder="1" applyAlignment="1">
      <alignment/>
    </xf>
    <xf numFmtId="179" fontId="2" fillId="34" borderId="0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/>
    </xf>
    <xf numFmtId="183" fontId="5" fillId="33" borderId="10" xfId="0" applyNumberFormat="1" applyFont="1" applyFill="1" applyBorder="1" applyAlignment="1">
      <alignment horizontal="center" vertical="center"/>
    </xf>
    <xf numFmtId="183" fontId="2" fillId="33" borderId="10" xfId="0" applyNumberFormat="1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76" fontId="13" fillId="33" borderId="10" xfId="0" applyFont="1" applyFill="1" applyBorder="1" applyAlignment="1">
      <alignment/>
    </xf>
    <xf numFmtId="182" fontId="13" fillId="33" borderId="10" xfId="0" applyNumberFormat="1" applyFont="1" applyFill="1" applyBorder="1" applyAlignment="1">
      <alignment vertical="center"/>
    </xf>
    <xf numFmtId="176" fontId="3" fillId="0" borderId="0" xfId="0" applyFont="1" applyFill="1" applyBorder="1" applyAlignment="1">
      <alignment horizontal="center" vertical="center"/>
    </xf>
    <xf numFmtId="176" fontId="2" fillId="34" borderId="10" xfId="0" applyFont="1" applyFill="1" applyBorder="1" applyAlignment="1">
      <alignment horizontal="center" vertical="center"/>
    </xf>
    <xf numFmtId="182" fontId="13" fillId="34" borderId="0" xfId="0" applyNumberFormat="1" applyFont="1" applyFill="1" applyBorder="1" applyAlignment="1">
      <alignment vertical="center"/>
    </xf>
    <xf numFmtId="176" fontId="2" fillId="34" borderId="10" xfId="0" applyFont="1" applyFill="1" applyBorder="1" applyAlignment="1">
      <alignment/>
    </xf>
    <xf numFmtId="176" fontId="5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176" fontId="2" fillId="0" borderId="12" xfId="0" applyFont="1" applyBorder="1" applyAlignment="1">
      <alignment horizontal="center" vertical="center"/>
    </xf>
    <xf numFmtId="176" fontId="2" fillId="34" borderId="12" xfId="0" applyFont="1" applyFill="1" applyBorder="1" applyAlignment="1">
      <alignment horizontal="center" vertical="center"/>
    </xf>
    <xf numFmtId="176" fontId="4" fillId="0" borderId="10" xfId="0" applyFont="1" applyBorder="1" applyAlignment="1">
      <alignment horizontal="center"/>
    </xf>
    <xf numFmtId="176" fontId="14" fillId="0" borderId="10" xfId="0" applyFont="1" applyBorder="1" applyAlignment="1">
      <alignment horizontal="center" vertical="center"/>
    </xf>
    <xf numFmtId="176" fontId="2" fillId="33" borderId="10" xfId="0" applyFont="1" applyFill="1" applyBorder="1" applyAlignment="1">
      <alignment horizontal="center" vertical="center"/>
    </xf>
    <xf numFmtId="182" fontId="5" fillId="34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/>
    </xf>
    <xf numFmtId="183" fontId="2" fillId="33" borderId="12" xfId="0" applyNumberFormat="1" applyFont="1" applyFill="1" applyBorder="1" applyAlignment="1">
      <alignment horizontal="center" vertical="center"/>
    </xf>
    <xf numFmtId="176" fontId="2" fillId="0" borderId="12" xfId="0" applyFont="1" applyBorder="1" applyAlignment="1">
      <alignment/>
    </xf>
    <xf numFmtId="176" fontId="2" fillId="0" borderId="12" xfId="0" applyFont="1" applyBorder="1" applyAlignment="1">
      <alignment horizontal="center"/>
    </xf>
    <xf numFmtId="176" fontId="1" fillId="0" borderId="12" xfId="0" applyFont="1" applyBorder="1" applyAlignment="1">
      <alignment horizontal="center"/>
    </xf>
    <xf numFmtId="176" fontId="8" fillId="0" borderId="12" xfId="0" applyFont="1" applyBorder="1" applyAlignment="1">
      <alignment horizontal="center"/>
    </xf>
    <xf numFmtId="176" fontId="4" fillId="0" borderId="12" xfId="0" applyFont="1" applyBorder="1" applyAlignment="1">
      <alignment/>
    </xf>
    <xf numFmtId="182" fontId="13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 vertical="center"/>
    </xf>
    <xf numFmtId="176" fontId="5" fillId="34" borderId="10" xfId="0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76" fontId="5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76" fontId="2" fillId="0" borderId="10" xfId="0" applyFont="1" applyFill="1" applyBorder="1" applyAlignment="1">
      <alignment horizontal="center"/>
    </xf>
    <xf numFmtId="176" fontId="15" fillId="33" borderId="10" xfId="0" applyFont="1" applyFill="1" applyBorder="1" applyAlignment="1">
      <alignment horizontal="center" vertical="center" wrapText="1"/>
    </xf>
    <xf numFmtId="176" fontId="2" fillId="0" borderId="0" xfId="0" applyFont="1" applyFill="1" applyBorder="1" applyAlignment="1">
      <alignment horizontal="center" vertical="center"/>
    </xf>
    <xf numFmtId="176" fontId="15" fillId="0" borderId="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/>
    </xf>
    <xf numFmtId="176" fontId="2" fillId="0" borderId="0" xfId="0" applyFont="1" applyFill="1" applyBorder="1" applyAlignment="1">
      <alignment/>
    </xf>
    <xf numFmtId="18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76" fontId="2" fillId="33" borderId="10" xfId="0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76" fontId="3" fillId="0" borderId="10" xfId="0" applyFont="1" applyBorder="1" applyAlignment="1">
      <alignment vertical="center"/>
    </xf>
    <xf numFmtId="176" fontId="2" fillId="0" borderId="0" xfId="0" applyFont="1" applyBorder="1" applyAlignment="1">
      <alignment vertical="center"/>
    </xf>
    <xf numFmtId="176" fontId="2" fillId="0" borderId="10" xfId="0" applyFont="1" applyBorder="1" applyAlignment="1">
      <alignment vertical="center"/>
    </xf>
    <xf numFmtId="176" fontId="4" fillId="0" borderId="0" xfId="0" applyFont="1" applyAlignment="1">
      <alignment/>
    </xf>
    <xf numFmtId="176" fontId="2" fillId="0" borderId="10" xfId="0" applyFont="1" applyFill="1" applyBorder="1" applyAlignment="1">
      <alignment vertical="center"/>
    </xf>
    <xf numFmtId="176" fontId="2" fillId="35" borderId="10" xfId="0" applyFont="1" applyFill="1" applyBorder="1" applyAlignment="1">
      <alignment vertical="center"/>
    </xf>
    <xf numFmtId="176" fontId="2" fillId="35" borderId="10" xfId="0" applyFont="1" applyFill="1" applyBorder="1" applyAlignment="1">
      <alignment horizontal="center" vertical="center"/>
    </xf>
    <xf numFmtId="189" fontId="2" fillId="0" borderId="10" xfId="33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176" fontId="5" fillId="34" borderId="0" xfId="0" applyFont="1" applyFill="1" applyBorder="1" applyAlignment="1">
      <alignment/>
    </xf>
    <xf numFmtId="176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49" fillId="0" borderId="0" xfId="0" applyFont="1" applyBorder="1" applyAlignment="1">
      <alignment horizontal="left" vertical="center"/>
    </xf>
    <xf numFmtId="183" fontId="5" fillId="33" borderId="0" xfId="0" applyNumberFormat="1" applyFont="1" applyFill="1" applyBorder="1" applyAlignment="1">
      <alignment horizontal="center" vertical="center"/>
    </xf>
    <xf numFmtId="183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49" fillId="0" borderId="0" xfId="0" applyFont="1" applyBorder="1" applyAlignment="1">
      <alignment horizontal="center" vertical="center"/>
    </xf>
    <xf numFmtId="176" fontId="4" fillId="16" borderId="10" xfId="0" applyFont="1" applyFill="1" applyBorder="1" applyAlignment="1">
      <alignment horizontal="center" vertical="center" wrapText="1"/>
    </xf>
    <xf numFmtId="176" fontId="2" fillId="16" borderId="10" xfId="0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 horizontal="right" vertical="center"/>
    </xf>
    <xf numFmtId="183" fontId="2" fillId="16" borderId="12" xfId="0" applyNumberFormat="1" applyFont="1" applyFill="1" applyBorder="1" applyAlignment="1">
      <alignment horizontal="center" vertical="center"/>
    </xf>
    <xf numFmtId="176" fontId="2" fillId="0" borderId="10" xfId="0" applyFont="1" applyBorder="1" applyAlignment="1">
      <alignment horizontal="right"/>
    </xf>
    <xf numFmtId="176" fontId="2" fillId="16" borderId="10" xfId="0" applyFont="1" applyFill="1" applyBorder="1" applyAlignment="1">
      <alignment horizontal="right"/>
    </xf>
    <xf numFmtId="184" fontId="2" fillId="16" borderId="10" xfId="0" applyNumberFormat="1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/>
    </xf>
    <xf numFmtId="176" fontId="2" fillId="16" borderId="10" xfId="0" applyFont="1" applyFill="1" applyBorder="1" applyAlignment="1">
      <alignment/>
    </xf>
    <xf numFmtId="176" fontId="2" fillId="16" borderId="10" xfId="0" applyNumberFormat="1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 vertical="center"/>
    </xf>
    <xf numFmtId="176" fontId="2" fillId="0" borderId="13" xfId="0" applyFont="1" applyBorder="1" applyAlignment="1">
      <alignment horizontal="left" vertical="center"/>
    </xf>
    <xf numFmtId="176" fontId="2" fillId="0" borderId="0" xfId="0" applyFont="1" applyBorder="1" applyAlignment="1">
      <alignment/>
    </xf>
    <xf numFmtId="176" fontId="2" fillId="0" borderId="0" xfId="0" applyFont="1" applyBorder="1" applyAlignment="1">
      <alignment horizontal="center" vertical="center"/>
    </xf>
    <xf numFmtId="176" fontId="2" fillId="0" borderId="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zoomScale="96" zoomScaleNormal="96" zoomScalePageLayoutView="0" workbookViewId="0" topLeftCell="A1">
      <pane xSplit="1" ySplit="2" topLeftCell="B57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G35" sqref="G35"/>
    </sheetView>
  </sheetViews>
  <sheetFormatPr defaultColWidth="5.8125" defaultRowHeight="25.5"/>
  <cols>
    <col min="1" max="1" width="7.0859375" style="8" customWidth="1"/>
    <col min="2" max="2" width="6.99609375" style="8" customWidth="1"/>
    <col min="3" max="14" width="5.8125" style="8" customWidth="1"/>
    <col min="15" max="15" width="7.36328125" style="8" customWidth="1"/>
    <col min="16" max="17" width="5.8125" style="8" customWidth="1"/>
    <col min="18" max="18" width="8.36328125" style="8" customWidth="1"/>
    <col min="19" max="16384" width="5.8125" style="8" customWidth="1"/>
  </cols>
  <sheetData>
    <row r="1" spans="1:4" ht="15.75">
      <c r="A1" s="118" t="s">
        <v>78</v>
      </c>
      <c r="B1" s="118"/>
      <c r="C1" s="118"/>
      <c r="D1" s="118"/>
    </row>
    <row r="2" spans="1:18" ht="19.5" customHeight="1">
      <c r="A2" s="9" t="s">
        <v>18</v>
      </c>
      <c r="B2" s="9" t="s">
        <v>72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69</v>
      </c>
      <c r="P2" s="9" t="s">
        <v>15</v>
      </c>
      <c r="Q2" s="9" t="s">
        <v>16</v>
      </c>
      <c r="R2" s="10" t="s">
        <v>68</v>
      </c>
    </row>
    <row r="3" spans="1:18" ht="19.5" customHeight="1">
      <c r="A3" s="9" t="s">
        <v>19</v>
      </c>
      <c r="B3" s="9">
        <v>0</v>
      </c>
      <c r="C3" s="9">
        <v>346</v>
      </c>
      <c r="D3" s="9">
        <v>704</v>
      </c>
      <c r="E3" s="9">
        <v>857</v>
      </c>
      <c r="F3" s="9">
        <v>609</v>
      </c>
      <c r="G3" s="9">
        <v>0</v>
      </c>
      <c r="H3" s="9">
        <v>775</v>
      </c>
      <c r="I3" s="9">
        <v>1007</v>
      </c>
      <c r="J3" s="9">
        <f>126+679</f>
        <v>805</v>
      </c>
      <c r="K3" s="9">
        <v>427</v>
      </c>
      <c r="L3" s="9">
        <v>2150</v>
      </c>
      <c r="M3" s="9">
        <v>628</v>
      </c>
      <c r="N3" s="9">
        <v>3123</v>
      </c>
      <c r="O3" s="9">
        <v>2097</v>
      </c>
      <c r="P3" s="9">
        <v>424</v>
      </c>
      <c r="Q3" s="9">
        <v>754</v>
      </c>
      <c r="R3" s="9">
        <v>14706</v>
      </c>
    </row>
    <row r="4" spans="1:18" ht="19.5" customHeight="1">
      <c r="A4" s="9" t="s">
        <v>20</v>
      </c>
      <c r="B4" s="9">
        <v>487</v>
      </c>
      <c r="C4" s="9">
        <v>408</v>
      </c>
      <c r="D4" s="9">
        <v>1016</v>
      </c>
      <c r="E4" s="9">
        <v>1171</v>
      </c>
      <c r="F4" s="9">
        <v>820</v>
      </c>
      <c r="G4" s="9">
        <v>0</v>
      </c>
      <c r="H4" s="9">
        <v>1188</v>
      </c>
      <c r="I4" s="9">
        <v>2060</v>
      </c>
      <c r="J4" s="9">
        <f>147+826</f>
        <v>973</v>
      </c>
      <c r="K4" s="9">
        <v>952</v>
      </c>
      <c r="L4" s="9">
        <v>2778</v>
      </c>
      <c r="M4" s="9">
        <v>896</v>
      </c>
      <c r="N4" s="9">
        <v>4143</v>
      </c>
      <c r="O4" s="9">
        <v>3491</v>
      </c>
      <c r="P4" s="9">
        <v>377</v>
      </c>
      <c r="Q4" s="9">
        <v>1302</v>
      </c>
      <c r="R4" s="9">
        <v>22062</v>
      </c>
    </row>
    <row r="5" spans="1:18" ht="19.5" customHeight="1">
      <c r="A5" s="9" t="s">
        <v>21</v>
      </c>
      <c r="B5" s="9">
        <v>646</v>
      </c>
      <c r="C5" s="9">
        <v>351</v>
      </c>
      <c r="D5" s="9">
        <v>989</v>
      </c>
      <c r="E5" s="9">
        <v>1140</v>
      </c>
      <c r="F5" s="9">
        <v>688</v>
      </c>
      <c r="G5" s="9">
        <v>0</v>
      </c>
      <c r="H5" s="9">
        <v>1045</v>
      </c>
      <c r="I5" s="9">
        <v>485</v>
      </c>
      <c r="J5" s="9">
        <v>844</v>
      </c>
      <c r="K5" s="9">
        <v>902</v>
      </c>
      <c r="L5" s="9">
        <v>1971</v>
      </c>
      <c r="M5" s="9">
        <v>814</v>
      </c>
      <c r="N5" s="9">
        <v>5518</v>
      </c>
      <c r="O5" s="9">
        <v>3772</v>
      </c>
      <c r="P5" s="9">
        <v>234</v>
      </c>
      <c r="Q5" s="9">
        <v>1239</v>
      </c>
      <c r="R5" s="9">
        <f aca="true" t="shared" si="0" ref="R5:R16">SUM(B5:Q5)</f>
        <v>20638</v>
      </c>
    </row>
    <row r="6" spans="1:18" ht="19.5" customHeight="1">
      <c r="A6" s="9" t="s">
        <v>22</v>
      </c>
      <c r="B6" s="9">
        <v>727</v>
      </c>
      <c r="C6" s="9">
        <v>392</v>
      </c>
      <c r="D6" s="9">
        <v>47</v>
      </c>
      <c r="E6" s="9">
        <v>1386</v>
      </c>
      <c r="F6" s="9">
        <v>739</v>
      </c>
      <c r="G6" s="11">
        <v>613</v>
      </c>
      <c r="H6" s="9">
        <v>1273</v>
      </c>
      <c r="I6" s="9">
        <v>2411</v>
      </c>
      <c r="J6" s="9">
        <v>1070</v>
      </c>
      <c r="K6" s="9">
        <v>974</v>
      </c>
      <c r="L6" s="9">
        <v>2303</v>
      </c>
      <c r="M6" s="9">
        <v>904</v>
      </c>
      <c r="N6" s="9">
        <v>5155</v>
      </c>
      <c r="O6" s="9">
        <v>4509</v>
      </c>
      <c r="P6" s="9">
        <v>246</v>
      </c>
      <c r="Q6" s="9">
        <v>1298</v>
      </c>
      <c r="R6" s="9">
        <f t="shared" si="0"/>
        <v>24047</v>
      </c>
    </row>
    <row r="7" spans="1:18" ht="19.5" customHeight="1">
      <c r="A7" s="9" t="s">
        <v>107</v>
      </c>
      <c r="B7" s="9">
        <f>SUM(B3:B6)</f>
        <v>1860</v>
      </c>
      <c r="C7" s="9">
        <f aca="true" t="shared" si="1" ref="C7:R7">SUM(C3:C6)</f>
        <v>1497</v>
      </c>
      <c r="D7" s="9">
        <f t="shared" si="1"/>
        <v>2756</v>
      </c>
      <c r="E7" s="9">
        <f t="shared" si="1"/>
        <v>4554</v>
      </c>
      <c r="F7" s="9">
        <f t="shared" si="1"/>
        <v>2856</v>
      </c>
      <c r="G7" s="9">
        <f t="shared" si="1"/>
        <v>613</v>
      </c>
      <c r="H7" s="9">
        <f t="shared" si="1"/>
        <v>4281</v>
      </c>
      <c r="I7" s="9">
        <f t="shared" si="1"/>
        <v>5963</v>
      </c>
      <c r="J7" s="9">
        <f t="shared" si="1"/>
        <v>3692</v>
      </c>
      <c r="K7" s="9">
        <f t="shared" si="1"/>
        <v>3255</v>
      </c>
      <c r="L7" s="9">
        <f t="shared" si="1"/>
        <v>9202</v>
      </c>
      <c r="M7" s="9">
        <f t="shared" si="1"/>
        <v>3242</v>
      </c>
      <c r="N7" s="9">
        <f t="shared" si="1"/>
        <v>17939</v>
      </c>
      <c r="O7" s="9">
        <f t="shared" si="1"/>
        <v>13869</v>
      </c>
      <c r="P7" s="9">
        <f t="shared" si="1"/>
        <v>1281</v>
      </c>
      <c r="Q7" s="9">
        <f t="shared" si="1"/>
        <v>4593</v>
      </c>
      <c r="R7" s="9">
        <f t="shared" si="1"/>
        <v>81453</v>
      </c>
    </row>
    <row r="8" spans="1:18" ht="19.5" customHeight="1">
      <c r="A8" s="9" t="s">
        <v>23</v>
      </c>
      <c r="B8" s="9">
        <v>661</v>
      </c>
      <c r="C8" s="9">
        <v>352</v>
      </c>
      <c r="D8" s="9">
        <v>1702</v>
      </c>
      <c r="E8" s="9">
        <v>842</v>
      </c>
      <c r="F8" s="9">
        <v>595</v>
      </c>
      <c r="G8" s="9">
        <v>1</v>
      </c>
      <c r="H8" s="9">
        <v>727</v>
      </c>
      <c r="I8" s="9">
        <v>3092</v>
      </c>
      <c r="J8" s="9">
        <v>524</v>
      </c>
      <c r="K8" s="9">
        <v>682</v>
      </c>
      <c r="L8" s="9">
        <v>2255</v>
      </c>
      <c r="M8" s="9">
        <v>702</v>
      </c>
      <c r="N8" s="9">
        <v>4517</v>
      </c>
      <c r="O8" s="9">
        <v>3391</v>
      </c>
      <c r="P8" s="9">
        <v>142</v>
      </c>
      <c r="Q8" s="9">
        <v>919</v>
      </c>
      <c r="R8" s="9">
        <f t="shared" si="0"/>
        <v>21104</v>
      </c>
    </row>
    <row r="9" spans="1:18" ht="19.5" customHeight="1">
      <c r="A9" s="9" t="s">
        <v>24</v>
      </c>
      <c r="B9" s="9">
        <v>475</v>
      </c>
      <c r="C9" s="9">
        <v>335</v>
      </c>
      <c r="D9" s="9">
        <v>492</v>
      </c>
      <c r="E9" s="9">
        <v>415</v>
      </c>
      <c r="F9" s="9">
        <v>562</v>
      </c>
      <c r="G9" s="9">
        <v>0</v>
      </c>
      <c r="H9" s="9">
        <v>536</v>
      </c>
      <c r="I9" s="9">
        <v>4283</v>
      </c>
      <c r="J9" s="9">
        <v>315</v>
      </c>
      <c r="K9" s="9">
        <v>498</v>
      </c>
      <c r="L9" s="9">
        <v>1993</v>
      </c>
      <c r="M9" s="9">
        <v>477</v>
      </c>
      <c r="N9" s="9">
        <v>2193</v>
      </c>
      <c r="O9" s="9">
        <v>2389</v>
      </c>
      <c r="P9" s="9">
        <v>32</v>
      </c>
      <c r="Q9" s="9">
        <v>725</v>
      </c>
      <c r="R9" s="9">
        <f t="shared" si="0"/>
        <v>15720</v>
      </c>
    </row>
    <row r="10" spans="1:18" ht="19.5" customHeight="1">
      <c r="A10" s="9" t="s">
        <v>25</v>
      </c>
      <c r="B10" s="9">
        <v>622</v>
      </c>
      <c r="C10" s="9">
        <v>425</v>
      </c>
      <c r="D10" s="9">
        <v>962</v>
      </c>
      <c r="E10" s="9">
        <v>1138</v>
      </c>
      <c r="F10" s="9">
        <v>867</v>
      </c>
      <c r="G10" s="9">
        <v>0</v>
      </c>
      <c r="H10" s="9">
        <v>1076</v>
      </c>
      <c r="I10" s="9">
        <v>4319</v>
      </c>
      <c r="J10" s="9">
        <v>815</v>
      </c>
      <c r="K10" s="9">
        <v>916</v>
      </c>
      <c r="L10" s="9">
        <v>2433</v>
      </c>
      <c r="M10" s="9">
        <v>766</v>
      </c>
      <c r="N10" s="9">
        <v>5106</v>
      </c>
      <c r="O10" s="9">
        <v>2513</v>
      </c>
      <c r="P10" s="9">
        <v>75</v>
      </c>
      <c r="Q10" s="9">
        <v>1127</v>
      </c>
      <c r="R10" s="9">
        <v>23160</v>
      </c>
    </row>
    <row r="11" spans="1:18" ht="19.5" customHeight="1">
      <c r="A11" s="9" t="s">
        <v>26</v>
      </c>
      <c r="B11" s="9">
        <v>619</v>
      </c>
      <c r="C11" s="9">
        <v>327</v>
      </c>
      <c r="D11" s="9">
        <v>899</v>
      </c>
      <c r="E11" s="9">
        <v>1006</v>
      </c>
      <c r="F11" s="9">
        <v>864</v>
      </c>
      <c r="G11" s="9">
        <v>515</v>
      </c>
      <c r="H11" s="9">
        <v>983</v>
      </c>
      <c r="I11" s="9">
        <v>3936</v>
      </c>
      <c r="J11" s="9">
        <v>817</v>
      </c>
      <c r="K11" s="9">
        <v>871</v>
      </c>
      <c r="L11" s="9">
        <v>5564</v>
      </c>
      <c r="M11" s="9">
        <v>716</v>
      </c>
      <c r="N11" s="9">
        <v>5027</v>
      </c>
      <c r="O11" s="9">
        <v>2308</v>
      </c>
      <c r="P11" s="9">
        <v>47</v>
      </c>
      <c r="Q11" s="9">
        <v>1105</v>
      </c>
      <c r="R11" s="9">
        <f t="shared" si="0"/>
        <v>25604</v>
      </c>
    </row>
    <row r="12" spans="1:18" ht="19.5" customHeight="1">
      <c r="A12" s="9" t="s">
        <v>27</v>
      </c>
      <c r="B12" s="9">
        <v>624</v>
      </c>
      <c r="C12" s="9">
        <v>332</v>
      </c>
      <c r="D12" s="9">
        <v>986</v>
      </c>
      <c r="E12" s="9">
        <v>1261</v>
      </c>
      <c r="F12" s="9">
        <v>849</v>
      </c>
      <c r="G12" s="9">
        <v>500</v>
      </c>
      <c r="H12" s="9">
        <v>1141</v>
      </c>
      <c r="I12" s="9">
        <v>3685</v>
      </c>
      <c r="J12" s="9">
        <f>176+787</f>
        <v>963</v>
      </c>
      <c r="K12" s="9">
        <v>975</v>
      </c>
      <c r="L12" s="9">
        <v>0</v>
      </c>
      <c r="M12" s="9">
        <v>801</v>
      </c>
      <c r="N12" s="9">
        <v>5619</v>
      </c>
      <c r="O12" s="9">
        <v>2539</v>
      </c>
      <c r="P12" s="9">
        <v>31</v>
      </c>
      <c r="Q12" s="9">
        <v>1243</v>
      </c>
      <c r="R12" s="9">
        <f>SUM(B12:Q12)</f>
        <v>21549</v>
      </c>
    </row>
    <row r="13" spans="1:18" ht="19.5" customHeight="1">
      <c r="A13" s="9" t="s">
        <v>28</v>
      </c>
      <c r="B13" s="9">
        <v>604</v>
      </c>
      <c r="C13" s="9">
        <v>260</v>
      </c>
      <c r="D13" s="9">
        <v>886</v>
      </c>
      <c r="E13" s="9">
        <v>1077</v>
      </c>
      <c r="F13" s="9">
        <v>822</v>
      </c>
      <c r="G13" s="9">
        <v>0</v>
      </c>
      <c r="H13" s="9">
        <v>1022</v>
      </c>
      <c r="I13" s="9">
        <v>3924</v>
      </c>
      <c r="J13" s="9">
        <f>137+629</f>
        <v>766</v>
      </c>
      <c r="K13" s="9">
        <v>782</v>
      </c>
      <c r="L13" s="9">
        <v>2413</v>
      </c>
      <c r="M13" s="9">
        <v>723</v>
      </c>
      <c r="N13" s="9">
        <v>504</v>
      </c>
      <c r="O13" s="9">
        <v>2310</v>
      </c>
      <c r="P13" s="9">
        <v>26</v>
      </c>
      <c r="Q13" s="9">
        <v>1057</v>
      </c>
      <c r="R13" s="9">
        <f t="shared" si="0"/>
        <v>17176</v>
      </c>
    </row>
    <row r="14" spans="1:18" ht="19.5" customHeight="1">
      <c r="A14" s="9" t="s">
        <v>29</v>
      </c>
      <c r="B14" s="9">
        <v>482</v>
      </c>
      <c r="C14" s="9">
        <v>212</v>
      </c>
      <c r="D14" s="9">
        <v>583</v>
      </c>
      <c r="E14" s="9">
        <v>362</v>
      </c>
      <c r="F14" s="9">
        <v>637</v>
      </c>
      <c r="G14" s="9">
        <v>0</v>
      </c>
      <c r="H14" s="9">
        <v>742</v>
      </c>
      <c r="I14" s="9">
        <v>2976</v>
      </c>
      <c r="J14" s="9">
        <f>45+245</f>
        <v>290</v>
      </c>
      <c r="K14" s="9">
        <v>464</v>
      </c>
      <c r="L14" s="9">
        <v>2173</v>
      </c>
      <c r="M14" s="9">
        <v>483</v>
      </c>
      <c r="N14" s="9">
        <v>7656</v>
      </c>
      <c r="O14" s="9">
        <v>1449</v>
      </c>
      <c r="P14" s="9">
        <v>7</v>
      </c>
      <c r="Q14" s="9">
        <v>797</v>
      </c>
      <c r="R14" s="9">
        <f t="shared" si="0"/>
        <v>19313</v>
      </c>
    </row>
    <row r="15" spans="1:18" ht="19.5" customHeight="1">
      <c r="A15" s="9" t="s">
        <v>30</v>
      </c>
      <c r="B15" s="9">
        <v>556</v>
      </c>
      <c r="C15" s="9">
        <v>265</v>
      </c>
      <c r="D15" s="9">
        <v>633</v>
      </c>
      <c r="E15" s="9">
        <v>542</v>
      </c>
      <c r="F15" s="9">
        <v>1000</v>
      </c>
      <c r="G15" s="9">
        <v>1000</v>
      </c>
      <c r="H15" s="9">
        <v>792</v>
      </c>
      <c r="I15" s="9">
        <v>3049</v>
      </c>
      <c r="J15" s="9">
        <f>8+255</f>
        <v>263</v>
      </c>
      <c r="K15" s="9">
        <v>374</v>
      </c>
      <c r="L15" s="9">
        <v>2461</v>
      </c>
      <c r="M15" s="9">
        <v>574</v>
      </c>
      <c r="N15" s="9">
        <v>1068</v>
      </c>
      <c r="O15" s="9">
        <v>1830</v>
      </c>
      <c r="P15" s="9">
        <v>11</v>
      </c>
      <c r="Q15" s="9">
        <v>913</v>
      </c>
      <c r="R15" s="9">
        <f t="shared" si="0"/>
        <v>15331</v>
      </c>
    </row>
    <row r="16" spans="1:18" ht="19.5" customHeight="1">
      <c r="A16" s="9" t="s">
        <v>31</v>
      </c>
      <c r="B16" s="9">
        <v>472</v>
      </c>
      <c r="C16" s="9">
        <v>229</v>
      </c>
      <c r="D16" s="9">
        <v>653</v>
      </c>
      <c r="E16" s="9">
        <v>1242</v>
      </c>
      <c r="F16" s="9">
        <v>330</v>
      </c>
      <c r="G16" s="9">
        <v>1300</v>
      </c>
      <c r="H16" s="9">
        <v>824</v>
      </c>
      <c r="I16" s="9">
        <v>2954</v>
      </c>
      <c r="J16" s="9">
        <f>123+558</f>
        <v>681</v>
      </c>
      <c r="K16" s="9">
        <v>775</v>
      </c>
      <c r="L16" s="9">
        <v>1943</v>
      </c>
      <c r="M16" s="9">
        <v>674</v>
      </c>
      <c r="N16" s="9">
        <v>3632</v>
      </c>
      <c r="O16" s="9">
        <v>1995</v>
      </c>
      <c r="P16" s="9">
        <v>354</v>
      </c>
      <c r="Q16" s="9">
        <v>1031</v>
      </c>
      <c r="R16" s="9">
        <f t="shared" si="0"/>
        <v>19089</v>
      </c>
    </row>
    <row r="17" spans="1:18" ht="19.5" customHeight="1">
      <c r="A17" s="9" t="s">
        <v>32</v>
      </c>
      <c r="B17" s="9">
        <v>571</v>
      </c>
      <c r="C17" s="9">
        <v>259</v>
      </c>
      <c r="D17" s="9">
        <v>870</v>
      </c>
      <c r="E17" s="9">
        <f>0+1389</f>
        <v>1389</v>
      </c>
      <c r="F17" s="9">
        <v>545</v>
      </c>
      <c r="G17" s="9">
        <v>1947</v>
      </c>
      <c r="H17" s="9">
        <v>1103</v>
      </c>
      <c r="I17" s="9">
        <v>4015</v>
      </c>
      <c r="J17" s="9">
        <f>131+763</f>
        <v>894</v>
      </c>
      <c r="K17" s="9">
        <v>979</v>
      </c>
      <c r="L17" s="9">
        <v>2247</v>
      </c>
      <c r="M17" s="9">
        <v>829</v>
      </c>
      <c r="N17" s="9">
        <v>5545</v>
      </c>
      <c r="O17" s="9">
        <v>2354</v>
      </c>
      <c r="P17" s="9">
        <v>1627</v>
      </c>
      <c r="Q17" s="9">
        <v>1339</v>
      </c>
      <c r="R17" s="9">
        <f aca="true" t="shared" si="2" ref="R17:R23">SUM(B17:Q17)</f>
        <v>26513</v>
      </c>
    </row>
    <row r="18" spans="1:18" ht="19.5" customHeight="1">
      <c r="A18" s="9" t="s">
        <v>33</v>
      </c>
      <c r="B18" s="9">
        <v>519</v>
      </c>
      <c r="C18" s="9">
        <v>229</v>
      </c>
      <c r="D18" s="9">
        <v>796</v>
      </c>
      <c r="E18" s="9">
        <f>0+1546</f>
        <v>1546</v>
      </c>
      <c r="F18" s="9">
        <v>554</v>
      </c>
      <c r="G18" s="9">
        <v>1370</v>
      </c>
      <c r="H18" s="9">
        <v>1064</v>
      </c>
      <c r="I18" s="9">
        <v>3668</v>
      </c>
      <c r="J18" s="9">
        <f>111+716</f>
        <v>827</v>
      </c>
      <c r="K18" s="9">
        <v>900</v>
      </c>
      <c r="L18" s="9">
        <v>2216</v>
      </c>
      <c r="M18" s="9">
        <v>763</v>
      </c>
      <c r="N18" s="9">
        <v>5140</v>
      </c>
      <c r="O18" s="9">
        <v>2213</v>
      </c>
      <c r="P18" s="9">
        <v>1443</v>
      </c>
      <c r="Q18" s="9">
        <v>1185</v>
      </c>
      <c r="R18" s="9">
        <f t="shared" si="2"/>
        <v>24433</v>
      </c>
    </row>
    <row r="19" spans="1:18" ht="19.5" customHeight="1">
      <c r="A19" s="9" t="s">
        <v>34</v>
      </c>
      <c r="B19" s="9">
        <v>676</v>
      </c>
      <c r="C19" s="9">
        <v>286</v>
      </c>
      <c r="D19" s="9">
        <v>531</v>
      </c>
      <c r="E19" s="9">
        <f>0+1000</f>
        <v>1000</v>
      </c>
      <c r="F19" s="9">
        <v>800</v>
      </c>
      <c r="G19" s="9">
        <v>2000</v>
      </c>
      <c r="H19" s="9">
        <v>865</v>
      </c>
      <c r="I19" s="9">
        <v>5000</v>
      </c>
      <c r="J19" s="9">
        <f>203+797</f>
        <v>1000</v>
      </c>
      <c r="K19" s="9">
        <v>1659</v>
      </c>
      <c r="L19" s="9">
        <v>2083</v>
      </c>
      <c r="M19" s="9">
        <v>800</v>
      </c>
      <c r="N19" s="9">
        <v>5420</v>
      </c>
      <c r="O19" s="9">
        <v>3073</v>
      </c>
      <c r="P19" s="9">
        <v>1289</v>
      </c>
      <c r="Q19" s="9">
        <v>1518</v>
      </c>
      <c r="R19" s="9">
        <f t="shared" si="2"/>
        <v>28000</v>
      </c>
    </row>
    <row r="20" spans="1:18" ht="19.5" customHeight="1">
      <c r="A20" s="9" t="s">
        <v>108</v>
      </c>
      <c r="B20" s="9">
        <f>SUM(B8:B19)</f>
        <v>6881</v>
      </c>
      <c r="C20" s="9">
        <f aca="true" t="shared" si="3" ref="C20:R20">SUM(C8:C19)</f>
        <v>3511</v>
      </c>
      <c r="D20" s="9">
        <f t="shared" si="3"/>
        <v>9993</v>
      </c>
      <c r="E20" s="9">
        <f t="shared" si="3"/>
        <v>11820</v>
      </c>
      <c r="F20" s="9">
        <f t="shared" si="3"/>
        <v>8425</v>
      </c>
      <c r="G20" s="9">
        <f t="shared" si="3"/>
        <v>8633</v>
      </c>
      <c r="H20" s="9">
        <f t="shared" si="3"/>
        <v>10875</v>
      </c>
      <c r="I20" s="9">
        <f t="shared" si="3"/>
        <v>44901</v>
      </c>
      <c r="J20" s="9">
        <f t="shared" si="3"/>
        <v>8155</v>
      </c>
      <c r="K20" s="9">
        <f t="shared" si="3"/>
        <v>9875</v>
      </c>
      <c r="L20" s="9">
        <f t="shared" si="3"/>
        <v>27781</v>
      </c>
      <c r="M20" s="9">
        <f t="shared" si="3"/>
        <v>8308</v>
      </c>
      <c r="N20" s="9">
        <f t="shared" si="3"/>
        <v>51427</v>
      </c>
      <c r="O20" s="9">
        <f t="shared" si="3"/>
        <v>28364</v>
      </c>
      <c r="P20" s="9">
        <f t="shared" si="3"/>
        <v>5084</v>
      </c>
      <c r="Q20" s="9">
        <f t="shared" si="3"/>
        <v>12959</v>
      </c>
      <c r="R20" s="9">
        <f t="shared" si="3"/>
        <v>256992</v>
      </c>
    </row>
    <row r="21" spans="1:18" ht="19.5" customHeight="1">
      <c r="A21" s="9" t="s">
        <v>35</v>
      </c>
      <c r="B21" s="9">
        <v>460</v>
      </c>
      <c r="C21" s="9">
        <v>238</v>
      </c>
      <c r="D21" s="9">
        <v>900</v>
      </c>
      <c r="E21" s="9">
        <f>0+1464</f>
        <v>1464</v>
      </c>
      <c r="F21" s="9">
        <v>430</v>
      </c>
      <c r="G21" s="9">
        <v>1700</v>
      </c>
      <c r="H21" s="9">
        <v>1100</v>
      </c>
      <c r="I21" s="9">
        <v>3396</v>
      </c>
      <c r="J21" s="9">
        <f>165+670</f>
        <v>835</v>
      </c>
      <c r="K21" s="9">
        <v>0</v>
      </c>
      <c r="L21" s="9">
        <v>2500</v>
      </c>
      <c r="M21" s="9">
        <v>423</v>
      </c>
      <c r="N21" s="9">
        <v>4000</v>
      </c>
      <c r="O21" s="9">
        <v>1400</v>
      </c>
      <c r="P21" s="9">
        <v>1600</v>
      </c>
      <c r="Q21" s="9">
        <v>1100</v>
      </c>
      <c r="R21" s="9">
        <f t="shared" si="2"/>
        <v>21546</v>
      </c>
    </row>
    <row r="22" spans="1:18" ht="19.5" customHeight="1">
      <c r="A22" s="9" t="s">
        <v>36</v>
      </c>
      <c r="B22" s="9">
        <v>503</v>
      </c>
      <c r="C22" s="9">
        <v>221</v>
      </c>
      <c r="D22" s="9">
        <v>541</v>
      </c>
      <c r="E22" s="9">
        <v>882</v>
      </c>
      <c r="F22" s="9">
        <v>491</v>
      </c>
      <c r="G22" s="9">
        <v>1500</v>
      </c>
      <c r="H22" s="9">
        <v>769</v>
      </c>
      <c r="I22" s="9">
        <v>3315</v>
      </c>
      <c r="J22" s="9">
        <f>130+561</f>
        <v>691</v>
      </c>
      <c r="K22" s="9">
        <v>636</v>
      </c>
      <c r="L22" s="9">
        <v>1838</v>
      </c>
      <c r="M22" s="9">
        <v>454</v>
      </c>
      <c r="N22" s="9">
        <v>3351</v>
      </c>
      <c r="O22" s="9">
        <v>1730</v>
      </c>
      <c r="P22" s="9">
        <v>1270</v>
      </c>
      <c r="Q22" s="9">
        <v>1023</v>
      </c>
      <c r="R22" s="9">
        <f t="shared" si="2"/>
        <v>19215</v>
      </c>
    </row>
    <row r="23" spans="1:18" ht="19.5" customHeight="1">
      <c r="A23" s="9" t="s">
        <v>37</v>
      </c>
      <c r="B23" s="9">
        <v>551</v>
      </c>
      <c r="C23" s="9">
        <v>248</v>
      </c>
      <c r="D23" s="9">
        <v>834</v>
      </c>
      <c r="E23" s="9">
        <v>360</v>
      </c>
      <c r="F23" s="9">
        <v>4072</v>
      </c>
      <c r="G23" s="9">
        <v>1400</v>
      </c>
      <c r="H23" s="9">
        <v>1106</v>
      </c>
      <c r="I23" s="9">
        <v>3495</v>
      </c>
      <c r="J23" s="9">
        <f>230+152</f>
        <v>382</v>
      </c>
      <c r="K23" s="9">
        <v>992</v>
      </c>
      <c r="L23" s="9">
        <v>2070</v>
      </c>
      <c r="M23" s="9">
        <v>610</v>
      </c>
      <c r="N23" s="9">
        <v>5556</v>
      </c>
      <c r="O23" s="9">
        <v>2322</v>
      </c>
      <c r="P23" s="9">
        <v>1537</v>
      </c>
      <c r="Q23" s="9">
        <v>1364</v>
      </c>
      <c r="R23" s="9">
        <f t="shared" si="2"/>
        <v>26899</v>
      </c>
    </row>
    <row r="24" spans="1:18" ht="19.5" customHeight="1">
      <c r="A24" s="9" t="s">
        <v>38</v>
      </c>
      <c r="B24" s="9">
        <v>585</v>
      </c>
      <c r="C24" s="9">
        <v>274</v>
      </c>
      <c r="D24" s="9">
        <v>866</v>
      </c>
      <c r="E24" s="9">
        <v>169</v>
      </c>
      <c r="F24" s="9">
        <v>5609</v>
      </c>
      <c r="G24" s="9">
        <v>1500</v>
      </c>
      <c r="H24" s="9">
        <v>1106</v>
      </c>
      <c r="I24" s="9">
        <v>4248</v>
      </c>
      <c r="J24" s="9">
        <f>603+1138</f>
        <v>1741</v>
      </c>
      <c r="K24" s="9">
        <v>1055</v>
      </c>
      <c r="L24" s="9">
        <v>2211</v>
      </c>
      <c r="M24" s="9">
        <v>687</v>
      </c>
      <c r="N24" s="9">
        <v>6017</v>
      </c>
      <c r="O24" s="9">
        <v>2245</v>
      </c>
      <c r="P24" s="9">
        <v>1617</v>
      </c>
      <c r="Q24" s="9">
        <v>1438</v>
      </c>
      <c r="R24" s="9">
        <f aca="true" t="shared" si="4" ref="R24:R45">SUM(B24:Q24)</f>
        <v>31368</v>
      </c>
    </row>
    <row r="25" spans="1:18" ht="19.5" customHeight="1">
      <c r="A25" s="9" t="s">
        <v>39</v>
      </c>
      <c r="B25" s="9">
        <v>592</v>
      </c>
      <c r="C25" s="9">
        <v>266</v>
      </c>
      <c r="D25" s="9">
        <v>950</v>
      </c>
      <c r="E25" s="9">
        <v>198</v>
      </c>
      <c r="F25" s="9">
        <v>5452</v>
      </c>
      <c r="G25" s="9">
        <v>1800</v>
      </c>
      <c r="H25" s="9">
        <v>1203</v>
      </c>
      <c r="I25" s="9">
        <v>4143</v>
      </c>
      <c r="J25" s="9">
        <f>1470+167</f>
        <v>1637</v>
      </c>
      <c r="K25" s="9">
        <v>1084</v>
      </c>
      <c r="L25" s="9">
        <v>2437</v>
      </c>
      <c r="M25" s="9">
        <v>644</v>
      </c>
      <c r="N25" s="9">
        <v>7107</v>
      </c>
      <c r="O25" s="9">
        <v>2347</v>
      </c>
      <c r="P25" s="9">
        <v>1748</v>
      </c>
      <c r="Q25" s="9">
        <v>1512</v>
      </c>
      <c r="R25" s="9">
        <f t="shared" si="4"/>
        <v>33120</v>
      </c>
    </row>
    <row r="26" spans="1:18" ht="19.5" customHeight="1">
      <c r="A26" s="9" t="s">
        <v>40</v>
      </c>
      <c r="B26" s="9">
        <v>566</v>
      </c>
      <c r="C26" s="9">
        <v>240</v>
      </c>
      <c r="D26" s="9">
        <v>872</v>
      </c>
      <c r="E26" s="9">
        <v>1794</v>
      </c>
      <c r="F26" s="9">
        <v>550</v>
      </c>
      <c r="G26" s="9">
        <v>1866</v>
      </c>
      <c r="H26" s="9">
        <v>1058</v>
      </c>
      <c r="I26" s="9">
        <v>4029</v>
      </c>
      <c r="J26" s="9">
        <f>1331+115</f>
        <v>1446</v>
      </c>
      <c r="K26" s="9">
        <v>914</v>
      </c>
      <c r="L26" s="9">
        <v>2145</v>
      </c>
      <c r="M26" s="9">
        <v>597</v>
      </c>
      <c r="N26" s="9">
        <v>5948</v>
      </c>
      <c r="O26" s="9">
        <v>2148</v>
      </c>
      <c r="P26" s="9">
        <v>1669</v>
      </c>
      <c r="Q26" s="9">
        <v>1250</v>
      </c>
      <c r="R26" s="9">
        <f t="shared" si="4"/>
        <v>27092</v>
      </c>
    </row>
    <row r="27" spans="1:18" ht="19.5" customHeight="1">
      <c r="A27" s="9" t="s">
        <v>41</v>
      </c>
      <c r="B27" s="9">
        <v>615</v>
      </c>
      <c r="C27" s="9">
        <v>223</v>
      </c>
      <c r="D27" s="9">
        <v>573</v>
      </c>
      <c r="E27" s="9">
        <v>970</v>
      </c>
      <c r="F27" s="9">
        <v>12</v>
      </c>
      <c r="G27" s="9">
        <v>1500</v>
      </c>
      <c r="H27" s="9">
        <v>687</v>
      </c>
      <c r="I27" s="9">
        <v>3853</v>
      </c>
      <c r="J27" s="9">
        <f>979+48</f>
        <v>1027</v>
      </c>
      <c r="K27" s="9">
        <v>564</v>
      </c>
      <c r="L27" s="9">
        <v>1807</v>
      </c>
      <c r="M27" s="9">
        <v>503</v>
      </c>
      <c r="N27" s="9">
        <v>3479</v>
      </c>
      <c r="O27" s="9">
        <v>1466</v>
      </c>
      <c r="P27" s="9">
        <v>1519</v>
      </c>
      <c r="Q27" s="9">
        <v>1183</v>
      </c>
      <c r="R27" s="9">
        <f t="shared" si="4"/>
        <v>19981</v>
      </c>
    </row>
    <row r="28" spans="1:18" ht="19.5" customHeight="1">
      <c r="A28" s="9" t="s">
        <v>42</v>
      </c>
      <c r="B28" s="9">
        <v>573</v>
      </c>
      <c r="C28" s="9">
        <v>202</v>
      </c>
      <c r="D28" s="9">
        <v>488</v>
      </c>
      <c r="E28" s="9">
        <v>1560</v>
      </c>
      <c r="F28" s="9">
        <v>284</v>
      </c>
      <c r="G28" s="9">
        <v>1859</v>
      </c>
      <c r="H28" s="9">
        <v>503</v>
      </c>
      <c r="I28" s="9">
        <v>3619</v>
      </c>
      <c r="J28" s="9">
        <f>784+21</f>
        <v>805</v>
      </c>
      <c r="K28" s="9">
        <v>504</v>
      </c>
      <c r="L28" s="9">
        <v>1604</v>
      </c>
      <c r="M28" s="9">
        <v>563</v>
      </c>
      <c r="N28" s="9">
        <v>1954</v>
      </c>
      <c r="O28" s="9">
        <v>1287</v>
      </c>
      <c r="P28" s="9">
        <v>1336</v>
      </c>
      <c r="Q28" s="9">
        <v>732</v>
      </c>
      <c r="R28" s="9">
        <f t="shared" si="4"/>
        <v>17873</v>
      </c>
    </row>
    <row r="29" spans="1:18" ht="19.5" customHeight="1">
      <c r="A29" s="9" t="s">
        <v>43</v>
      </c>
      <c r="B29" s="9">
        <v>525</v>
      </c>
      <c r="C29" s="9">
        <v>174</v>
      </c>
      <c r="D29" s="9">
        <v>648</v>
      </c>
      <c r="E29" s="9">
        <v>2201</v>
      </c>
      <c r="F29" s="9">
        <v>8</v>
      </c>
      <c r="G29" s="9">
        <v>1554</v>
      </c>
      <c r="H29" s="9">
        <v>889</v>
      </c>
      <c r="I29" s="9">
        <v>2229</v>
      </c>
      <c r="J29" s="9">
        <f>947+106</f>
        <v>1053</v>
      </c>
      <c r="K29" s="9">
        <v>729</v>
      </c>
      <c r="L29" s="9">
        <v>1624</v>
      </c>
      <c r="M29" s="9">
        <v>501</v>
      </c>
      <c r="N29" s="9">
        <v>4413</v>
      </c>
      <c r="O29" s="9">
        <v>1802</v>
      </c>
      <c r="P29" s="9">
        <v>1427</v>
      </c>
      <c r="Q29" s="9">
        <v>1193</v>
      </c>
      <c r="R29" s="9">
        <f t="shared" si="4"/>
        <v>20970</v>
      </c>
    </row>
    <row r="30" spans="1:18" ht="19.5" customHeight="1">
      <c r="A30" s="9" t="s">
        <v>44</v>
      </c>
      <c r="B30" s="9">
        <v>614</v>
      </c>
      <c r="C30" s="9">
        <v>232</v>
      </c>
      <c r="D30" s="9">
        <v>929</v>
      </c>
      <c r="E30" s="9">
        <v>2229</v>
      </c>
      <c r="F30" s="9">
        <v>17</v>
      </c>
      <c r="G30" s="9">
        <v>1535</v>
      </c>
      <c r="H30" s="9">
        <v>1137</v>
      </c>
      <c r="I30" s="9">
        <v>3439</v>
      </c>
      <c r="J30" s="9">
        <f>1276+146</f>
        <v>1422</v>
      </c>
      <c r="K30" s="9">
        <v>1010</v>
      </c>
      <c r="L30" s="9">
        <v>2141</v>
      </c>
      <c r="M30" s="9">
        <v>654</v>
      </c>
      <c r="N30" s="9">
        <v>6083</v>
      </c>
      <c r="O30" s="9">
        <v>2754</v>
      </c>
      <c r="P30" s="9">
        <v>1516</v>
      </c>
      <c r="Q30" s="9">
        <v>1520</v>
      </c>
      <c r="R30" s="9">
        <f t="shared" si="4"/>
        <v>27232</v>
      </c>
    </row>
    <row r="31" spans="1:18" ht="19.5" customHeight="1">
      <c r="A31" s="9" t="s">
        <v>45</v>
      </c>
      <c r="B31" s="9">
        <v>595</v>
      </c>
      <c r="C31" s="9">
        <v>230</v>
      </c>
      <c r="D31" s="9">
        <v>803</v>
      </c>
      <c r="E31" s="9">
        <v>2068</v>
      </c>
      <c r="F31" s="9">
        <v>15</v>
      </c>
      <c r="G31" s="9">
        <v>1571</v>
      </c>
      <c r="H31" s="9">
        <v>1065</v>
      </c>
      <c r="I31" s="9">
        <v>2876</v>
      </c>
      <c r="J31" s="9">
        <f>1183+139</f>
        <v>1322</v>
      </c>
      <c r="K31" s="9">
        <v>897</v>
      </c>
      <c r="L31" s="9">
        <v>1811</v>
      </c>
      <c r="M31" s="9">
        <v>559</v>
      </c>
      <c r="N31" s="9">
        <v>5645</v>
      </c>
      <c r="O31" s="9">
        <v>1518</v>
      </c>
      <c r="P31" s="9">
        <v>1260</v>
      </c>
      <c r="Q31" s="9">
        <v>1368</v>
      </c>
      <c r="R31" s="9">
        <f t="shared" si="4"/>
        <v>23603</v>
      </c>
    </row>
    <row r="32" spans="1:18" ht="19.5" customHeight="1">
      <c r="A32" s="9" t="s">
        <v>46</v>
      </c>
      <c r="B32" s="9">
        <v>718</v>
      </c>
      <c r="C32" s="9">
        <v>296</v>
      </c>
      <c r="D32" s="9">
        <v>954</v>
      </c>
      <c r="E32" s="9">
        <v>2268</v>
      </c>
      <c r="F32" s="9">
        <v>11</v>
      </c>
      <c r="G32" s="9">
        <v>1807</v>
      </c>
      <c r="H32" s="9">
        <v>1249</v>
      </c>
      <c r="I32" s="9">
        <v>3925</v>
      </c>
      <c r="J32" s="9">
        <f>1362+154</f>
        <v>1516</v>
      </c>
      <c r="K32" s="9">
        <v>1045</v>
      </c>
      <c r="L32" s="9">
        <v>2159</v>
      </c>
      <c r="M32" s="9">
        <v>671</v>
      </c>
      <c r="N32" s="9">
        <v>5995</v>
      </c>
      <c r="O32" s="12">
        <v>0</v>
      </c>
      <c r="P32" s="9">
        <v>1498</v>
      </c>
      <c r="Q32" s="9">
        <v>728</v>
      </c>
      <c r="R32" s="9">
        <f t="shared" si="4"/>
        <v>24840</v>
      </c>
    </row>
    <row r="33" spans="1:18" ht="19.5" customHeight="1">
      <c r="A33" s="9" t="s">
        <v>109</v>
      </c>
      <c r="B33" s="9">
        <f>SUM(B21:B32)</f>
        <v>6897</v>
      </c>
      <c r="C33" s="9">
        <f aca="true" t="shared" si="5" ref="C33:Q33">SUM(C21:C32)</f>
        <v>2844</v>
      </c>
      <c r="D33" s="9">
        <f t="shared" si="5"/>
        <v>9358</v>
      </c>
      <c r="E33" s="9">
        <f t="shared" si="5"/>
        <v>16163</v>
      </c>
      <c r="F33" s="9">
        <f t="shared" si="5"/>
        <v>16951</v>
      </c>
      <c r="G33" s="9">
        <f t="shared" si="5"/>
        <v>19592</v>
      </c>
      <c r="H33" s="9">
        <f t="shared" si="5"/>
        <v>11872</v>
      </c>
      <c r="I33" s="9">
        <f t="shared" si="5"/>
        <v>42567</v>
      </c>
      <c r="J33" s="9">
        <f t="shared" si="5"/>
        <v>13877</v>
      </c>
      <c r="K33" s="9">
        <f t="shared" si="5"/>
        <v>9430</v>
      </c>
      <c r="L33" s="9">
        <f t="shared" si="5"/>
        <v>24347</v>
      </c>
      <c r="M33" s="9">
        <f t="shared" si="5"/>
        <v>6866</v>
      </c>
      <c r="N33" s="9">
        <f t="shared" si="5"/>
        <v>59548</v>
      </c>
      <c r="O33" s="9">
        <f t="shared" si="5"/>
        <v>21019</v>
      </c>
      <c r="P33" s="9">
        <f t="shared" si="5"/>
        <v>17997</v>
      </c>
      <c r="Q33" s="9">
        <f t="shared" si="5"/>
        <v>14411</v>
      </c>
      <c r="R33" s="9">
        <f>SUM(R21:R32)</f>
        <v>293739</v>
      </c>
    </row>
    <row r="34" spans="1:18" ht="19.5" customHeight="1">
      <c r="A34" s="13" t="s">
        <v>47</v>
      </c>
      <c r="B34" s="11">
        <v>893</v>
      </c>
      <c r="C34" s="11">
        <v>318</v>
      </c>
      <c r="D34" s="11">
        <v>680</v>
      </c>
      <c r="E34" s="11">
        <v>1666</v>
      </c>
      <c r="F34" s="11">
        <v>13</v>
      </c>
      <c r="G34" s="11">
        <v>2013</v>
      </c>
      <c r="H34" s="11">
        <v>1200</v>
      </c>
      <c r="I34" s="11">
        <v>4348</v>
      </c>
      <c r="J34" s="11">
        <f>1037+94</f>
        <v>1131</v>
      </c>
      <c r="K34" s="11">
        <v>782</v>
      </c>
      <c r="L34" s="9">
        <v>2284</v>
      </c>
      <c r="M34" s="11">
        <v>649</v>
      </c>
      <c r="N34" s="9">
        <v>3757</v>
      </c>
      <c r="O34" s="9">
        <v>585</v>
      </c>
      <c r="P34" s="11">
        <v>1473</v>
      </c>
      <c r="Q34" s="11">
        <v>1280</v>
      </c>
      <c r="R34" s="9">
        <f t="shared" si="4"/>
        <v>23072</v>
      </c>
    </row>
    <row r="35" spans="1:18" ht="19.5" customHeight="1">
      <c r="A35" s="13" t="s">
        <v>48</v>
      </c>
      <c r="B35" s="9">
        <v>478</v>
      </c>
      <c r="C35" s="9">
        <v>176</v>
      </c>
      <c r="D35" s="9">
        <v>378</v>
      </c>
      <c r="E35" s="9">
        <v>971</v>
      </c>
      <c r="F35" s="9">
        <v>3</v>
      </c>
      <c r="G35" s="9">
        <v>1042</v>
      </c>
      <c r="H35" s="9">
        <v>1000</v>
      </c>
      <c r="I35" s="9">
        <v>2565</v>
      </c>
      <c r="J35" s="9">
        <f>626+55</f>
        <v>681</v>
      </c>
      <c r="K35" s="9">
        <v>442</v>
      </c>
      <c r="L35" s="9">
        <v>1026</v>
      </c>
      <c r="M35" s="9">
        <v>327</v>
      </c>
      <c r="N35" s="9">
        <v>2479</v>
      </c>
      <c r="O35" s="9">
        <v>1000</v>
      </c>
      <c r="P35" s="9">
        <v>770</v>
      </c>
      <c r="Q35" s="9">
        <v>1009</v>
      </c>
      <c r="R35" s="9">
        <f t="shared" si="4"/>
        <v>14347</v>
      </c>
    </row>
    <row r="36" spans="1:18" ht="19.5" customHeight="1">
      <c r="A36" s="13" t="s">
        <v>49</v>
      </c>
      <c r="B36" s="9">
        <v>797</v>
      </c>
      <c r="C36" s="9">
        <v>317</v>
      </c>
      <c r="D36" s="9">
        <v>1007</v>
      </c>
      <c r="E36" s="9">
        <v>2522</v>
      </c>
      <c r="F36" s="9">
        <v>4</v>
      </c>
      <c r="G36" s="9">
        <v>2258</v>
      </c>
      <c r="H36" s="9">
        <v>383</v>
      </c>
      <c r="I36" s="9">
        <v>4669</v>
      </c>
      <c r="J36" s="12">
        <f>1451+131</f>
        <v>1582</v>
      </c>
      <c r="K36" s="9">
        <v>1109</v>
      </c>
      <c r="L36" s="9">
        <v>2123</v>
      </c>
      <c r="M36" s="9">
        <v>704</v>
      </c>
      <c r="N36" s="9">
        <v>6030</v>
      </c>
      <c r="O36" s="9">
        <v>1101</v>
      </c>
      <c r="P36" s="9">
        <v>1514</v>
      </c>
      <c r="Q36" s="9">
        <v>2064</v>
      </c>
      <c r="R36" s="9">
        <f t="shared" si="4"/>
        <v>28184</v>
      </c>
    </row>
    <row r="37" spans="1:18" ht="19.5" customHeight="1">
      <c r="A37" s="13" t="s">
        <v>50</v>
      </c>
      <c r="B37" s="9">
        <v>491</v>
      </c>
      <c r="C37" s="9">
        <v>187</v>
      </c>
      <c r="D37" s="9">
        <v>661</v>
      </c>
      <c r="E37" s="9">
        <v>1780</v>
      </c>
      <c r="F37" s="9">
        <v>4</v>
      </c>
      <c r="G37" s="9">
        <v>1394</v>
      </c>
      <c r="H37" s="9">
        <v>323</v>
      </c>
      <c r="I37" s="9">
        <v>2685</v>
      </c>
      <c r="J37" s="9">
        <f>936+105</f>
        <v>1041</v>
      </c>
      <c r="K37" s="9">
        <v>741</v>
      </c>
      <c r="L37" s="9">
        <v>1282</v>
      </c>
      <c r="M37" s="9">
        <v>455</v>
      </c>
      <c r="N37" s="9">
        <v>4264</v>
      </c>
      <c r="O37" s="9">
        <v>696</v>
      </c>
      <c r="P37" s="9">
        <v>1001</v>
      </c>
      <c r="Q37" s="9">
        <v>1394</v>
      </c>
      <c r="R37" s="9">
        <f t="shared" si="4"/>
        <v>18399</v>
      </c>
    </row>
    <row r="38" spans="1:18" ht="19.5" customHeight="1">
      <c r="A38" s="13" t="s">
        <v>51</v>
      </c>
      <c r="B38" s="9">
        <v>670</v>
      </c>
      <c r="C38" s="9">
        <v>255</v>
      </c>
      <c r="D38" s="9">
        <v>943</v>
      </c>
      <c r="E38" s="9">
        <v>2324</v>
      </c>
      <c r="F38" s="9">
        <v>3</v>
      </c>
      <c r="G38" s="9">
        <v>1910</v>
      </c>
      <c r="H38" s="9">
        <v>1170</v>
      </c>
      <c r="I38" s="9">
        <v>3672</v>
      </c>
      <c r="J38" s="9">
        <f>1266+122</f>
        <v>1388</v>
      </c>
      <c r="K38" s="9">
        <v>1006</v>
      </c>
      <c r="L38" s="9">
        <v>1536</v>
      </c>
      <c r="M38" s="9">
        <v>578</v>
      </c>
      <c r="N38" s="9">
        <v>5412</v>
      </c>
      <c r="O38" s="9">
        <v>2482</v>
      </c>
      <c r="P38" s="9">
        <v>1238</v>
      </c>
      <c r="Q38" s="9">
        <v>838</v>
      </c>
      <c r="R38" s="9">
        <f t="shared" si="4"/>
        <v>25425</v>
      </c>
    </row>
    <row r="39" spans="1:18" ht="19.5" customHeight="1">
      <c r="A39" s="13" t="s">
        <v>52</v>
      </c>
      <c r="B39" s="9">
        <v>562</v>
      </c>
      <c r="C39" s="9">
        <v>227</v>
      </c>
      <c r="D39" s="9">
        <v>809</v>
      </c>
      <c r="E39" s="9">
        <v>2542</v>
      </c>
      <c r="F39" s="9">
        <v>90</v>
      </c>
      <c r="G39" s="9">
        <v>1723</v>
      </c>
      <c r="H39" s="9">
        <v>1016</v>
      </c>
      <c r="I39" s="9">
        <v>3251</v>
      </c>
      <c r="J39" s="9">
        <f>1207+90</f>
        <v>1297</v>
      </c>
      <c r="K39" s="9">
        <v>819</v>
      </c>
      <c r="L39" s="9">
        <v>1323</v>
      </c>
      <c r="M39" s="9">
        <v>529</v>
      </c>
      <c r="N39" s="9">
        <v>1733</v>
      </c>
      <c r="O39" s="9">
        <v>2044</v>
      </c>
      <c r="P39" s="9">
        <v>1130</v>
      </c>
      <c r="Q39" s="9">
        <v>743</v>
      </c>
      <c r="R39" s="9">
        <f t="shared" si="4"/>
        <v>19838</v>
      </c>
    </row>
    <row r="40" spans="1:18" ht="19.5" customHeight="1">
      <c r="A40" s="13" t="s">
        <v>53</v>
      </c>
      <c r="B40" s="9">
        <v>655</v>
      </c>
      <c r="C40" s="9">
        <v>243</v>
      </c>
      <c r="D40" s="9">
        <v>694</v>
      </c>
      <c r="E40" s="9">
        <v>6</v>
      </c>
      <c r="F40" s="9">
        <v>400</v>
      </c>
      <c r="G40" s="9">
        <v>1886</v>
      </c>
      <c r="H40" s="9">
        <v>979</v>
      </c>
      <c r="I40" s="9">
        <v>3937</v>
      </c>
      <c r="J40" s="9">
        <f>1133+77</f>
        <v>1210</v>
      </c>
      <c r="K40" s="9">
        <v>142</v>
      </c>
      <c r="L40" s="9">
        <v>1377</v>
      </c>
      <c r="M40" s="9">
        <v>463</v>
      </c>
      <c r="N40" s="9">
        <v>4078</v>
      </c>
      <c r="O40" s="9">
        <v>1721</v>
      </c>
      <c r="P40" s="9">
        <v>1205</v>
      </c>
      <c r="Q40" s="9">
        <v>584</v>
      </c>
      <c r="R40" s="9">
        <f t="shared" si="4"/>
        <v>19580</v>
      </c>
    </row>
    <row r="41" spans="1:18" ht="19.5" customHeight="1">
      <c r="A41" s="13" t="s">
        <v>54</v>
      </c>
      <c r="B41" s="9">
        <v>599</v>
      </c>
      <c r="C41" s="9">
        <v>244</v>
      </c>
      <c r="D41" s="9">
        <v>532</v>
      </c>
      <c r="E41" s="9">
        <v>29</v>
      </c>
      <c r="F41" s="9">
        <v>179</v>
      </c>
      <c r="G41" s="9">
        <v>1701</v>
      </c>
      <c r="H41" s="9">
        <v>772</v>
      </c>
      <c r="I41" s="9">
        <v>3830</v>
      </c>
      <c r="J41" s="9">
        <f>1072+57</f>
        <v>1129</v>
      </c>
      <c r="K41" s="9">
        <v>151</v>
      </c>
      <c r="L41" s="9">
        <v>1283</v>
      </c>
      <c r="M41" s="9">
        <v>409</v>
      </c>
      <c r="N41" s="9">
        <v>1251</v>
      </c>
      <c r="O41" s="9">
        <v>1161</v>
      </c>
      <c r="P41" s="9">
        <v>1039</v>
      </c>
      <c r="Q41" s="9">
        <v>505</v>
      </c>
      <c r="R41" s="9">
        <f t="shared" si="4"/>
        <v>14814</v>
      </c>
    </row>
    <row r="42" spans="1:18" ht="19.5" customHeight="1">
      <c r="A42" s="13" t="s">
        <v>55</v>
      </c>
      <c r="B42" s="9">
        <v>476</v>
      </c>
      <c r="C42" s="9">
        <v>232</v>
      </c>
      <c r="D42" s="9">
        <v>717</v>
      </c>
      <c r="E42" s="9">
        <v>1390</v>
      </c>
      <c r="F42" s="9">
        <v>211</v>
      </c>
      <c r="G42" s="9">
        <v>1475</v>
      </c>
      <c r="H42" s="9">
        <v>947</v>
      </c>
      <c r="I42" s="9">
        <v>3295</v>
      </c>
      <c r="J42" s="9">
        <f>1125+130</f>
        <v>1255</v>
      </c>
      <c r="K42" s="9">
        <v>894</v>
      </c>
      <c r="L42" s="9">
        <v>1347</v>
      </c>
      <c r="M42" s="9">
        <v>450</v>
      </c>
      <c r="N42" s="9">
        <v>3152</v>
      </c>
      <c r="O42" s="9">
        <v>1997</v>
      </c>
      <c r="P42" s="9">
        <v>1019</v>
      </c>
      <c r="Q42" s="9">
        <v>809</v>
      </c>
      <c r="R42" s="9">
        <f t="shared" si="4"/>
        <v>19666</v>
      </c>
    </row>
    <row r="43" spans="1:18" ht="19.5" customHeight="1">
      <c r="A43" s="13" t="s">
        <v>56</v>
      </c>
      <c r="B43" s="9">
        <v>666</v>
      </c>
      <c r="C43" s="9">
        <v>318</v>
      </c>
      <c r="D43" s="9">
        <v>1092</v>
      </c>
      <c r="E43" s="9">
        <v>2263</v>
      </c>
      <c r="F43" s="9">
        <v>38</v>
      </c>
      <c r="G43" s="9">
        <v>2204</v>
      </c>
      <c r="H43" s="9">
        <v>1289</v>
      </c>
      <c r="I43" s="9">
        <v>3459</v>
      </c>
      <c r="J43" s="9">
        <f>1549+217</f>
        <v>1766</v>
      </c>
      <c r="K43" s="9">
        <v>1186</v>
      </c>
      <c r="L43" s="9">
        <v>1895</v>
      </c>
      <c r="M43" s="9">
        <v>676</v>
      </c>
      <c r="N43" s="9">
        <v>4736</v>
      </c>
      <c r="O43" s="9">
        <v>2996</v>
      </c>
      <c r="P43" s="9">
        <v>1486</v>
      </c>
      <c r="Q43" s="9">
        <v>1106</v>
      </c>
      <c r="R43" s="9">
        <f t="shared" si="4"/>
        <v>27176</v>
      </c>
    </row>
    <row r="44" spans="1:18" ht="19.5" customHeight="1">
      <c r="A44" s="13" t="s">
        <v>57</v>
      </c>
      <c r="B44" s="9">
        <v>597</v>
      </c>
      <c r="C44" s="9">
        <v>282</v>
      </c>
      <c r="D44" s="9">
        <v>971</v>
      </c>
      <c r="E44" s="9">
        <v>2007</v>
      </c>
      <c r="F44" s="9">
        <v>1973</v>
      </c>
      <c r="G44" s="9">
        <v>1183</v>
      </c>
      <c r="H44" s="9">
        <v>2844</v>
      </c>
      <c r="I44" s="9">
        <v>955</v>
      </c>
      <c r="J44" s="9">
        <v>657</v>
      </c>
      <c r="K44" s="9">
        <v>1026</v>
      </c>
      <c r="L44" s="9">
        <v>1600</v>
      </c>
      <c r="M44" s="9">
        <v>608</v>
      </c>
      <c r="N44" s="9">
        <v>4172</v>
      </c>
      <c r="O44" s="9">
        <v>2893</v>
      </c>
      <c r="P44" s="9">
        <v>1294</v>
      </c>
      <c r="Q44" s="9">
        <v>981</v>
      </c>
      <c r="R44" s="9">
        <f t="shared" si="4"/>
        <v>24043</v>
      </c>
    </row>
    <row r="45" spans="1:18" ht="19.5" customHeight="1">
      <c r="A45" s="13" t="s">
        <v>58</v>
      </c>
      <c r="B45" s="9">
        <v>635</v>
      </c>
      <c r="C45" s="9">
        <v>285</v>
      </c>
      <c r="D45" s="9">
        <v>979</v>
      </c>
      <c r="E45" s="9">
        <v>0</v>
      </c>
      <c r="F45" s="9">
        <v>1988</v>
      </c>
      <c r="G45" s="9">
        <v>2035</v>
      </c>
      <c r="H45" s="9">
        <v>1135</v>
      </c>
      <c r="I45" s="9">
        <v>2897</v>
      </c>
      <c r="J45" s="9">
        <v>1759</v>
      </c>
      <c r="K45" s="9">
        <v>1033</v>
      </c>
      <c r="L45" s="9">
        <v>1486</v>
      </c>
      <c r="M45" s="9">
        <v>591</v>
      </c>
      <c r="N45" s="9">
        <v>4116</v>
      </c>
      <c r="O45" s="9">
        <v>2495</v>
      </c>
      <c r="P45" s="9">
        <v>1303</v>
      </c>
      <c r="Q45" s="9">
        <v>966</v>
      </c>
      <c r="R45" s="9">
        <f t="shared" si="4"/>
        <v>23703</v>
      </c>
    </row>
    <row r="46" spans="1:18" ht="19.5" customHeight="1">
      <c r="A46" s="9" t="s">
        <v>110</v>
      </c>
      <c r="B46" s="9">
        <f>SUM(B34:B45)</f>
        <v>7519</v>
      </c>
      <c r="C46" s="9">
        <f aca="true" t="shared" si="6" ref="C46:R46">SUM(C34:C45)</f>
        <v>3084</v>
      </c>
      <c r="D46" s="9">
        <f t="shared" si="6"/>
        <v>9463</v>
      </c>
      <c r="E46" s="9">
        <f t="shared" si="6"/>
        <v>17500</v>
      </c>
      <c r="F46" s="9">
        <f t="shared" si="6"/>
        <v>4906</v>
      </c>
      <c r="G46" s="9">
        <f t="shared" si="6"/>
        <v>20824</v>
      </c>
      <c r="H46" s="9">
        <f t="shared" si="6"/>
        <v>13058</v>
      </c>
      <c r="I46" s="9">
        <f t="shared" si="6"/>
        <v>39563</v>
      </c>
      <c r="J46" s="9">
        <f t="shared" si="6"/>
        <v>14896</v>
      </c>
      <c r="K46" s="9">
        <f t="shared" si="6"/>
        <v>9331</v>
      </c>
      <c r="L46" s="9">
        <f t="shared" si="6"/>
        <v>18562</v>
      </c>
      <c r="M46" s="9">
        <f t="shared" si="6"/>
        <v>6439</v>
      </c>
      <c r="N46" s="9">
        <f t="shared" si="6"/>
        <v>45180</v>
      </c>
      <c r="O46" s="9">
        <f t="shared" si="6"/>
        <v>21171</v>
      </c>
      <c r="P46" s="9">
        <f t="shared" si="6"/>
        <v>14472</v>
      </c>
      <c r="Q46" s="9">
        <f t="shared" si="6"/>
        <v>12279</v>
      </c>
      <c r="R46" s="9">
        <f t="shared" si="6"/>
        <v>258247</v>
      </c>
    </row>
  </sheetData>
  <sheetProtection/>
  <mergeCells count="1">
    <mergeCell ref="A1:D1"/>
  </mergeCells>
  <printOptions/>
  <pageMargins left="0.1968503937007874" right="0.15748031496062992" top="0.3937007874015748" bottom="0.3937007874015748" header="0.11811023622047245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75" zoomScaleNormal="75" zoomScalePageLayoutView="0" workbookViewId="0" topLeftCell="A1">
      <pane xSplit="5" ySplit="2" topLeftCell="F24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F40" sqref="F40"/>
    </sheetView>
  </sheetViews>
  <sheetFormatPr defaultColWidth="5.8125" defaultRowHeight="25.5"/>
  <cols>
    <col min="1" max="1" width="7.0859375" style="1" customWidth="1"/>
    <col min="2" max="12" width="5.8125" style="1" customWidth="1"/>
    <col min="13" max="13" width="7.6328125" style="1" customWidth="1"/>
    <col min="14" max="14" width="8.36328125" style="1" customWidth="1"/>
    <col min="15" max="16384" width="5.8125" style="1" customWidth="1"/>
  </cols>
  <sheetData>
    <row r="1" spans="1:3" ht="15.75">
      <c r="A1" s="119" t="s">
        <v>79</v>
      </c>
      <c r="B1" s="119"/>
      <c r="C1" s="119"/>
    </row>
    <row r="2" spans="1:14" ht="19.5" customHeight="1">
      <c r="A2" s="2" t="s">
        <v>18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70</v>
      </c>
      <c r="G2" s="16" t="s">
        <v>6</v>
      </c>
      <c r="H2" s="16" t="s">
        <v>7</v>
      </c>
      <c r="I2" s="16" t="s">
        <v>8</v>
      </c>
      <c r="J2" s="17" t="s">
        <v>73</v>
      </c>
      <c r="K2" s="16" t="s">
        <v>11</v>
      </c>
      <c r="L2" s="16" t="s">
        <v>13</v>
      </c>
      <c r="M2" s="19" t="s">
        <v>75</v>
      </c>
      <c r="N2" s="3" t="s">
        <v>68</v>
      </c>
    </row>
    <row r="3" spans="1:14" ht="19.5" customHeight="1">
      <c r="A3" s="2" t="s">
        <v>19</v>
      </c>
      <c r="B3" s="2">
        <v>4231</v>
      </c>
      <c r="C3" s="2">
        <v>5368</v>
      </c>
      <c r="D3" s="2">
        <v>1351</v>
      </c>
      <c r="E3" s="2">
        <v>11156</v>
      </c>
      <c r="F3" s="2">
        <v>32721</v>
      </c>
      <c r="G3" s="2">
        <v>14691</v>
      </c>
      <c r="H3" s="2">
        <v>18180</v>
      </c>
      <c r="I3" s="2">
        <v>22190</v>
      </c>
      <c r="J3" s="2">
        <v>42240</v>
      </c>
      <c r="K3" s="2">
        <v>40746</v>
      </c>
      <c r="L3" s="2">
        <v>25825</v>
      </c>
      <c r="M3" s="2">
        <v>55954</v>
      </c>
      <c r="N3" s="4">
        <f aca="true" t="shared" si="0" ref="N3:N22">SUM(B3:M3)</f>
        <v>274653</v>
      </c>
    </row>
    <row r="4" spans="1:14" ht="19.5" customHeight="1">
      <c r="A4" s="2" t="s">
        <v>20</v>
      </c>
      <c r="B4" s="2">
        <v>6862</v>
      </c>
      <c r="C4" s="2">
        <v>5493</v>
      </c>
      <c r="D4" s="2">
        <v>2255</v>
      </c>
      <c r="E4" s="2">
        <v>15365</v>
      </c>
      <c r="F4" s="2">
        <v>39454</v>
      </c>
      <c r="G4" s="2">
        <v>0</v>
      </c>
      <c r="H4" s="2">
        <v>28486</v>
      </c>
      <c r="I4" s="2">
        <v>15482</v>
      </c>
      <c r="J4" s="2">
        <v>53497</v>
      </c>
      <c r="K4" s="2">
        <v>39349</v>
      </c>
      <c r="L4" s="2">
        <v>45154</v>
      </c>
      <c r="M4" s="2">
        <v>66119</v>
      </c>
      <c r="N4" s="4">
        <f t="shared" si="0"/>
        <v>317516</v>
      </c>
    </row>
    <row r="5" spans="1:14" ht="19.5" customHeight="1">
      <c r="A5" s="2" t="s">
        <v>21</v>
      </c>
      <c r="B5" s="2">
        <v>7718</v>
      </c>
      <c r="C5" s="2">
        <v>6464</v>
      </c>
      <c r="D5" s="2">
        <v>2615</v>
      </c>
      <c r="E5" s="2">
        <v>18026</v>
      </c>
      <c r="F5" s="2">
        <v>46965</v>
      </c>
      <c r="G5" s="2">
        <v>0</v>
      </c>
      <c r="H5" s="2">
        <v>33382</v>
      </c>
      <c r="I5" s="2">
        <v>33382</v>
      </c>
      <c r="J5" s="2">
        <v>61796</v>
      </c>
      <c r="K5" s="2">
        <v>45900</v>
      </c>
      <c r="L5" s="2">
        <v>56630</v>
      </c>
      <c r="M5" s="2">
        <v>81964</v>
      </c>
      <c r="N5" s="4">
        <f t="shared" si="0"/>
        <v>394842</v>
      </c>
    </row>
    <row r="6" spans="1:14" ht="19.5" customHeight="1">
      <c r="A6" s="2" t="s">
        <v>22</v>
      </c>
      <c r="B6" s="2">
        <v>5926</v>
      </c>
      <c r="C6" s="2">
        <v>5597</v>
      </c>
      <c r="D6" s="2">
        <v>2646</v>
      </c>
      <c r="E6" s="2">
        <v>14082</v>
      </c>
      <c r="F6" s="2">
        <v>39507</v>
      </c>
      <c r="G6" s="5">
        <v>2178</v>
      </c>
      <c r="H6" s="2">
        <v>26712</v>
      </c>
      <c r="I6" s="2">
        <v>40327</v>
      </c>
      <c r="J6" s="2">
        <v>52048</v>
      </c>
      <c r="K6" s="2">
        <v>43554</v>
      </c>
      <c r="L6" s="2">
        <v>48393</v>
      </c>
      <c r="M6" s="2">
        <v>68052</v>
      </c>
      <c r="N6" s="4">
        <f t="shared" si="0"/>
        <v>349022</v>
      </c>
    </row>
    <row r="7" spans="1:14" ht="19.5" customHeight="1">
      <c r="A7" s="2" t="s">
        <v>107</v>
      </c>
      <c r="B7" s="2">
        <f>SUM(B3:B6)</f>
        <v>24737</v>
      </c>
      <c r="C7" s="2">
        <f aca="true" t="shared" si="1" ref="C7:M7">SUM(C3:C6)</f>
        <v>22922</v>
      </c>
      <c r="D7" s="2">
        <f t="shared" si="1"/>
        <v>8867</v>
      </c>
      <c r="E7" s="2">
        <f t="shared" si="1"/>
        <v>58629</v>
      </c>
      <c r="F7" s="2">
        <f t="shared" si="1"/>
        <v>158647</v>
      </c>
      <c r="G7" s="2">
        <f t="shared" si="1"/>
        <v>16869</v>
      </c>
      <c r="H7" s="2">
        <f t="shared" si="1"/>
        <v>106760</v>
      </c>
      <c r="I7" s="2">
        <f t="shared" si="1"/>
        <v>111381</v>
      </c>
      <c r="J7" s="2">
        <f t="shared" si="1"/>
        <v>209581</v>
      </c>
      <c r="K7" s="2">
        <f t="shared" si="1"/>
        <v>169549</v>
      </c>
      <c r="L7" s="2">
        <f t="shared" si="1"/>
        <v>176002</v>
      </c>
      <c r="M7" s="2">
        <f t="shared" si="1"/>
        <v>272089</v>
      </c>
      <c r="N7" s="4"/>
    </row>
    <row r="8" spans="1:14" ht="19.5" customHeight="1">
      <c r="A8" s="2" t="s">
        <v>23</v>
      </c>
      <c r="B8" s="2">
        <v>6309</v>
      </c>
      <c r="C8" s="2">
        <v>5993</v>
      </c>
      <c r="D8" s="2">
        <v>3376</v>
      </c>
      <c r="E8" s="2">
        <v>13887</v>
      </c>
      <c r="F8" s="2">
        <v>40179</v>
      </c>
      <c r="G8" s="2">
        <v>5896</v>
      </c>
      <c r="H8" s="2">
        <v>27250</v>
      </c>
      <c r="I8" s="2">
        <v>13829</v>
      </c>
      <c r="J8" s="2">
        <v>52628</v>
      </c>
      <c r="K8" s="2">
        <v>52405</v>
      </c>
      <c r="L8" s="2">
        <v>49129</v>
      </c>
      <c r="M8" s="2">
        <v>73694</v>
      </c>
      <c r="N8" s="4">
        <f t="shared" si="0"/>
        <v>344575</v>
      </c>
    </row>
    <row r="9" spans="1:14" ht="19.5" customHeight="1">
      <c r="A9" s="2" t="s">
        <v>24</v>
      </c>
      <c r="B9" s="2">
        <v>4857</v>
      </c>
      <c r="C9" s="2">
        <v>5904</v>
      </c>
      <c r="D9" s="2">
        <v>2510</v>
      </c>
      <c r="E9" s="2">
        <v>8215</v>
      </c>
      <c r="F9" s="2">
        <v>24869</v>
      </c>
      <c r="G9" s="2">
        <v>10766</v>
      </c>
      <c r="H9" s="2">
        <v>15259</v>
      </c>
      <c r="I9" s="2">
        <v>23404</v>
      </c>
      <c r="J9" s="2">
        <v>33361</v>
      </c>
      <c r="K9" s="2">
        <v>41543</v>
      </c>
      <c r="L9" s="2">
        <v>35106</v>
      </c>
      <c r="M9" s="2">
        <v>58511</v>
      </c>
      <c r="N9" s="4">
        <f t="shared" si="0"/>
        <v>264305</v>
      </c>
    </row>
    <row r="10" spans="1:14" ht="19.5" customHeight="1">
      <c r="A10" s="2" t="s">
        <v>25</v>
      </c>
      <c r="B10" s="2">
        <v>5756</v>
      </c>
      <c r="C10" s="2">
        <v>6968</v>
      </c>
      <c r="D10" s="2">
        <v>3266</v>
      </c>
      <c r="E10" s="2">
        <v>16575</v>
      </c>
      <c r="F10" s="2">
        <v>28362</v>
      </c>
      <c r="G10" s="2">
        <v>12545</v>
      </c>
      <c r="H10" s="2">
        <v>17509</v>
      </c>
      <c r="I10" s="2">
        <v>26692</v>
      </c>
      <c r="J10" s="2">
        <v>38738</v>
      </c>
      <c r="K10" s="2">
        <v>46710</v>
      </c>
      <c r="L10" s="2">
        <v>40037</v>
      </c>
      <c r="M10" s="2">
        <v>83411</v>
      </c>
      <c r="N10" s="4">
        <f t="shared" si="0"/>
        <v>326569</v>
      </c>
    </row>
    <row r="11" spans="1:14" ht="19.5" customHeight="1">
      <c r="A11" s="2" t="s">
        <v>26</v>
      </c>
      <c r="B11" s="2">
        <v>6333</v>
      </c>
      <c r="C11" s="2">
        <v>5626</v>
      </c>
      <c r="D11" s="2">
        <v>2909</v>
      </c>
      <c r="E11" s="2">
        <v>15883</v>
      </c>
      <c r="F11" s="2">
        <v>67804</v>
      </c>
      <c r="G11" s="2">
        <v>15796</v>
      </c>
      <c r="H11" s="2">
        <v>41564</v>
      </c>
      <c r="I11" s="2">
        <v>24681</v>
      </c>
      <c r="J11" s="2">
        <v>71642</v>
      </c>
      <c r="K11" s="2">
        <v>44427</v>
      </c>
      <c r="L11" s="2">
        <v>80215</v>
      </c>
      <c r="M11" s="2">
        <v>64789</v>
      </c>
      <c r="N11" s="4">
        <f t="shared" si="0"/>
        <v>441669</v>
      </c>
    </row>
    <row r="12" spans="1:14" ht="19.5" customHeight="1">
      <c r="A12" s="2" t="s">
        <v>27</v>
      </c>
      <c r="B12" s="2">
        <v>6903</v>
      </c>
      <c r="C12" s="2">
        <v>7405</v>
      </c>
      <c r="D12" s="2">
        <v>3280</v>
      </c>
      <c r="E12" s="2">
        <v>22439</v>
      </c>
      <c r="F12" s="2">
        <v>68061</v>
      </c>
      <c r="G12" s="2">
        <v>16179</v>
      </c>
      <c r="H12" s="2">
        <v>40705</v>
      </c>
      <c r="I12" s="2">
        <v>28919</v>
      </c>
      <c r="J12" s="2">
        <v>71707</v>
      </c>
      <c r="K12" s="2">
        <v>50412</v>
      </c>
      <c r="L12" s="2">
        <v>76204</v>
      </c>
      <c r="M12" s="2">
        <v>86463</v>
      </c>
      <c r="N12" s="4">
        <f t="shared" si="0"/>
        <v>478677</v>
      </c>
    </row>
    <row r="13" spans="1:14" ht="19.5" customHeight="1">
      <c r="A13" s="2" t="s">
        <v>28</v>
      </c>
      <c r="B13" s="2">
        <v>7266</v>
      </c>
      <c r="C13" s="2">
        <v>7575</v>
      </c>
      <c r="D13" s="2">
        <v>3453</v>
      </c>
      <c r="E13" s="2">
        <v>23311</v>
      </c>
      <c r="F13" s="2">
        <v>70671</v>
      </c>
      <c r="G13" s="2">
        <v>17133</v>
      </c>
      <c r="H13" s="2">
        <v>42085</v>
      </c>
      <c r="I13" s="2">
        <v>29762</v>
      </c>
      <c r="J13" s="2">
        <v>75049</v>
      </c>
      <c r="K13" s="2">
        <v>52485</v>
      </c>
      <c r="L13" s="2">
        <v>78427</v>
      </c>
      <c r="M13" s="2">
        <v>90492</v>
      </c>
      <c r="N13" s="4">
        <f t="shared" si="0"/>
        <v>497709</v>
      </c>
    </row>
    <row r="14" spans="1:14" ht="19.5" customHeight="1">
      <c r="A14" s="2" t="s">
        <v>29</v>
      </c>
      <c r="B14" s="2">
        <v>5648</v>
      </c>
      <c r="C14" s="2">
        <v>5515</v>
      </c>
      <c r="D14" s="2">
        <v>2247</v>
      </c>
      <c r="E14" s="2">
        <v>14339</v>
      </c>
      <c r="F14" s="2">
        <v>24589</v>
      </c>
      <c r="G14" s="2">
        <v>11148</v>
      </c>
      <c r="H14" s="2">
        <v>26661</v>
      </c>
      <c r="I14" s="2">
        <v>19767</v>
      </c>
      <c r="J14" s="2">
        <v>12295</v>
      </c>
      <c r="K14" s="2">
        <v>40324</v>
      </c>
      <c r="L14" s="2">
        <v>14825</v>
      </c>
      <c r="M14" s="2">
        <v>45857</v>
      </c>
      <c r="N14" s="4">
        <f t="shared" si="0"/>
        <v>223215</v>
      </c>
    </row>
    <row r="15" spans="1:14" ht="19.5" customHeight="1">
      <c r="A15" s="2" t="s">
        <v>30</v>
      </c>
      <c r="B15" s="2">
        <v>7771</v>
      </c>
      <c r="C15" s="2">
        <v>7897</v>
      </c>
      <c r="D15" s="2">
        <v>3514</v>
      </c>
      <c r="E15" s="2">
        <v>20529</v>
      </c>
      <c r="F15" s="2">
        <v>33095</v>
      </c>
      <c r="G15" s="2">
        <v>17107</v>
      </c>
      <c r="H15" s="2">
        <v>37780</v>
      </c>
      <c r="I15" s="2">
        <v>28914</v>
      </c>
      <c r="J15" s="2">
        <v>31222</v>
      </c>
      <c r="K15" s="2">
        <v>54213</v>
      </c>
      <c r="L15" s="2">
        <v>12047</v>
      </c>
      <c r="M15" s="2">
        <v>70778</v>
      </c>
      <c r="N15" s="4">
        <f t="shared" si="0"/>
        <v>324867</v>
      </c>
    </row>
    <row r="16" spans="1:14" ht="19.5" customHeight="1">
      <c r="A16" s="2" t="s">
        <v>31</v>
      </c>
      <c r="B16" s="2">
        <v>6150</v>
      </c>
      <c r="C16" s="2">
        <v>6072</v>
      </c>
      <c r="D16" s="2">
        <v>3074</v>
      </c>
      <c r="E16" s="2">
        <v>17214</v>
      </c>
      <c r="F16" s="2">
        <v>33384</v>
      </c>
      <c r="G16" s="2">
        <v>14755</v>
      </c>
      <c r="H16" s="2">
        <v>34288</v>
      </c>
      <c r="I16" s="2">
        <v>24982</v>
      </c>
      <c r="J16" s="2">
        <v>48559</v>
      </c>
      <c r="K16" s="2">
        <v>45085</v>
      </c>
      <c r="L16" s="2">
        <v>46841</v>
      </c>
      <c r="M16" s="2">
        <v>67334</v>
      </c>
      <c r="N16" s="4">
        <f t="shared" si="0"/>
        <v>347738</v>
      </c>
    </row>
    <row r="17" spans="1:14" ht="19.5" customHeight="1">
      <c r="A17" s="2" t="s">
        <v>32</v>
      </c>
      <c r="B17" s="2">
        <v>7228</v>
      </c>
      <c r="C17" s="2">
        <v>7379</v>
      </c>
      <c r="D17" s="2">
        <v>2672</v>
      </c>
      <c r="E17" s="2">
        <v>24234</v>
      </c>
      <c r="F17" s="2">
        <v>54955</v>
      </c>
      <c r="G17" s="2">
        <v>23729</v>
      </c>
      <c r="H17" s="2">
        <v>43116</v>
      </c>
      <c r="I17" s="2">
        <v>28609</v>
      </c>
      <c r="J17" s="2">
        <v>70002</v>
      </c>
      <c r="K17" s="2">
        <v>55536</v>
      </c>
      <c r="L17" s="2">
        <v>63109</v>
      </c>
      <c r="M17" s="2">
        <v>93085</v>
      </c>
      <c r="N17" s="4">
        <f t="shared" si="0"/>
        <v>473654</v>
      </c>
    </row>
    <row r="18" spans="1:14" ht="19.5" customHeight="1">
      <c r="A18" s="2" t="s">
        <v>33</v>
      </c>
      <c r="B18" s="2">
        <v>5313</v>
      </c>
      <c r="C18" s="2">
        <v>5624</v>
      </c>
      <c r="D18" s="2">
        <v>2356</v>
      </c>
      <c r="E18" s="2">
        <v>17721</v>
      </c>
      <c r="F18" s="2">
        <v>47678</v>
      </c>
      <c r="G18" s="2">
        <v>8201</v>
      </c>
      <c r="H18" s="2">
        <v>34133</v>
      </c>
      <c r="I18" s="2">
        <v>22165</v>
      </c>
      <c r="J18" s="2">
        <v>53997</v>
      </c>
      <c r="K18" s="2">
        <v>46546</v>
      </c>
      <c r="L18" s="2">
        <v>55411</v>
      </c>
      <c r="M18" s="2">
        <v>72035</v>
      </c>
      <c r="N18" s="4">
        <f t="shared" si="0"/>
        <v>371180</v>
      </c>
    </row>
    <row r="19" spans="1:14" ht="19.5" customHeight="1">
      <c r="A19" s="2" t="s">
        <v>34</v>
      </c>
      <c r="B19" s="2">
        <v>6774</v>
      </c>
      <c r="C19" s="2">
        <v>7007</v>
      </c>
      <c r="D19" s="2">
        <v>2397</v>
      </c>
      <c r="E19" s="2">
        <v>20945</v>
      </c>
      <c r="F19" s="2">
        <v>37789</v>
      </c>
      <c r="G19" s="2">
        <v>17546</v>
      </c>
      <c r="H19" s="2">
        <v>30941</v>
      </c>
      <c r="I19" s="2">
        <v>15652</v>
      </c>
      <c r="J19" s="2">
        <v>48037</v>
      </c>
      <c r="K19" s="2">
        <v>38306</v>
      </c>
      <c r="L19" s="2">
        <v>43248</v>
      </c>
      <c r="M19" s="2">
        <v>91131</v>
      </c>
      <c r="N19" s="4">
        <f t="shared" si="0"/>
        <v>359773</v>
      </c>
    </row>
    <row r="20" spans="1:14" ht="19.5" customHeight="1">
      <c r="A20" s="2" t="s">
        <v>108</v>
      </c>
      <c r="B20" s="2">
        <f>SUM(B8:B19)</f>
        <v>76308</v>
      </c>
      <c r="C20" s="2">
        <f aca="true" t="shared" si="2" ref="C20:M20">SUM(C8:C19)</f>
        <v>78965</v>
      </c>
      <c r="D20" s="2">
        <f t="shared" si="2"/>
        <v>35054</v>
      </c>
      <c r="E20" s="2">
        <f t="shared" si="2"/>
        <v>215292</v>
      </c>
      <c r="F20" s="2">
        <f t="shared" si="2"/>
        <v>531436</v>
      </c>
      <c r="G20" s="2">
        <f t="shared" si="2"/>
        <v>170801</v>
      </c>
      <c r="H20" s="2">
        <f t="shared" si="2"/>
        <v>391291</v>
      </c>
      <c r="I20" s="2">
        <f t="shared" si="2"/>
        <v>287376</v>
      </c>
      <c r="J20" s="2">
        <f t="shared" si="2"/>
        <v>607237</v>
      </c>
      <c r="K20" s="2">
        <f t="shared" si="2"/>
        <v>567992</v>
      </c>
      <c r="L20" s="2">
        <f t="shared" si="2"/>
        <v>594599</v>
      </c>
      <c r="M20" s="2">
        <f t="shared" si="2"/>
        <v>897580</v>
      </c>
      <c r="N20" s="4">
        <f>SUM(N8:N19)</f>
        <v>4453931</v>
      </c>
    </row>
    <row r="21" spans="1:14" ht="19.5" customHeight="1">
      <c r="A21" s="2" t="s">
        <v>35</v>
      </c>
      <c r="B21" s="2">
        <v>5017</v>
      </c>
      <c r="C21" s="2">
        <v>5647</v>
      </c>
      <c r="D21" s="2">
        <v>3137</v>
      </c>
      <c r="E21" s="2">
        <v>14372</v>
      </c>
      <c r="F21" s="2">
        <v>34902</v>
      </c>
      <c r="G21" s="2">
        <v>16337</v>
      </c>
      <c r="H21" s="2">
        <v>29407</v>
      </c>
      <c r="I21" s="2">
        <v>31644</v>
      </c>
      <c r="J21" s="2">
        <v>51495</v>
      </c>
      <c r="K21" s="2">
        <v>30908</v>
      </c>
      <c r="L21" s="2">
        <v>66231</v>
      </c>
      <c r="M21" s="2">
        <v>57953</v>
      </c>
      <c r="N21" s="4">
        <f t="shared" si="0"/>
        <v>347050</v>
      </c>
    </row>
    <row r="22" spans="1:14" ht="19.5" customHeight="1">
      <c r="A22" s="2" t="s">
        <v>36</v>
      </c>
      <c r="B22" s="2">
        <v>5345</v>
      </c>
      <c r="C22" s="2">
        <v>4546</v>
      </c>
      <c r="D22" s="2">
        <v>2646</v>
      </c>
      <c r="E22" s="2">
        <v>13995</v>
      </c>
      <c r="F22" s="2">
        <v>45233</v>
      </c>
      <c r="G22" s="2">
        <v>20255</v>
      </c>
      <c r="H22" s="2">
        <v>23875</v>
      </c>
      <c r="I22" s="2">
        <v>22984</v>
      </c>
      <c r="J22" s="2">
        <v>39091</v>
      </c>
      <c r="K22" s="2">
        <v>83496</v>
      </c>
      <c r="L22" s="2">
        <v>43094</v>
      </c>
      <c r="M22" s="2">
        <v>60602</v>
      </c>
      <c r="N22" s="4">
        <f t="shared" si="0"/>
        <v>365162</v>
      </c>
    </row>
    <row r="23" spans="1:14" ht="19.5" customHeight="1">
      <c r="A23" s="2" t="s">
        <v>37</v>
      </c>
      <c r="B23" s="2">
        <v>7202</v>
      </c>
      <c r="C23" s="2">
        <v>6724</v>
      </c>
      <c r="D23" s="2">
        <v>3178</v>
      </c>
      <c r="E23" s="2">
        <v>7856</v>
      </c>
      <c r="F23" s="2">
        <v>47736</v>
      </c>
      <c r="G23" s="2">
        <v>20860</v>
      </c>
      <c r="H23" s="2">
        <v>33820</v>
      </c>
      <c r="I23" s="2">
        <v>25890</v>
      </c>
      <c r="J23" s="2">
        <v>54637</v>
      </c>
      <c r="K23" s="2">
        <v>54369</v>
      </c>
      <c r="L23" s="2">
        <v>61027</v>
      </c>
      <c r="M23" s="2">
        <v>79057</v>
      </c>
      <c r="N23" s="4">
        <f>SUM(B23:M23)</f>
        <v>402356</v>
      </c>
    </row>
    <row r="24" spans="1:14" ht="19.5" customHeight="1">
      <c r="A24" s="2" t="s">
        <v>38</v>
      </c>
      <c r="B24" s="2">
        <v>6520</v>
      </c>
      <c r="C24" s="2">
        <v>6145</v>
      </c>
      <c r="D24" s="2">
        <v>2938</v>
      </c>
      <c r="E24" s="2">
        <v>7484</v>
      </c>
      <c r="F24" s="2">
        <v>45136</v>
      </c>
      <c r="G24" s="2">
        <v>20004</v>
      </c>
      <c r="H24" s="2">
        <v>32195</v>
      </c>
      <c r="I24" s="2">
        <v>26673</v>
      </c>
      <c r="J24" s="2">
        <v>52455</v>
      </c>
      <c r="K24" s="2">
        <v>51776</v>
      </c>
      <c r="L24" s="2">
        <v>55895</v>
      </c>
      <c r="M24" s="2">
        <v>76488</v>
      </c>
      <c r="N24" s="4">
        <f aca="true" t="shared" si="3" ref="N24:N45">SUM(B24:M24)</f>
        <v>383709</v>
      </c>
    </row>
    <row r="25" spans="1:14" ht="19.5" customHeight="1">
      <c r="A25" s="2" t="s">
        <v>39</v>
      </c>
      <c r="B25" s="2">
        <v>8400</v>
      </c>
      <c r="C25" s="2">
        <v>7771</v>
      </c>
      <c r="D25" s="2">
        <v>3535</v>
      </c>
      <c r="E25" s="2">
        <v>9289</v>
      </c>
      <c r="F25" s="2">
        <v>60109</v>
      </c>
      <c r="G25" s="2">
        <v>26796</v>
      </c>
      <c r="H25" s="2">
        <v>46206</v>
      </c>
      <c r="I25" s="2">
        <v>35278</v>
      </c>
      <c r="J25" s="2">
        <v>96450</v>
      </c>
      <c r="K25" s="2">
        <v>69242</v>
      </c>
      <c r="L25" s="2">
        <v>73183</v>
      </c>
      <c r="M25" s="2">
        <v>94293</v>
      </c>
      <c r="N25" s="4">
        <f t="shared" si="3"/>
        <v>530552</v>
      </c>
    </row>
    <row r="26" spans="1:14" ht="19.5" customHeight="1">
      <c r="A26" s="2" t="s">
        <v>40</v>
      </c>
      <c r="B26" s="2">
        <v>9042</v>
      </c>
      <c r="C26" s="2">
        <v>9053</v>
      </c>
      <c r="D26" s="2">
        <v>3550</v>
      </c>
      <c r="E26" s="2">
        <v>10680</v>
      </c>
      <c r="F26" s="2">
        <v>65951</v>
      </c>
      <c r="G26" s="2">
        <v>28696</v>
      </c>
      <c r="H26" s="2">
        <v>54360</v>
      </c>
      <c r="I26" s="2">
        <v>40608</v>
      </c>
      <c r="J26" s="2">
        <v>88403</v>
      </c>
      <c r="K26" s="2">
        <v>78509</v>
      </c>
      <c r="L26" s="2">
        <v>81216</v>
      </c>
      <c r="M26" s="2">
        <v>96444</v>
      </c>
      <c r="N26" s="4">
        <f t="shared" si="3"/>
        <v>566512</v>
      </c>
    </row>
    <row r="27" spans="1:14" ht="19.5" customHeight="1">
      <c r="A27" s="2" t="s">
        <v>41</v>
      </c>
      <c r="B27" s="2">
        <v>7557</v>
      </c>
      <c r="C27" s="2">
        <v>8540</v>
      </c>
      <c r="D27" s="2">
        <v>3397</v>
      </c>
      <c r="E27" s="2">
        <v>9282</v>
      </c>
      <c r="F27" s="2">
        <v>61421</v>
      </c>
      <c r="G27" s="2">
        <v>22120</v>
      </c>
      <c r="H27" s="2">
        <v>42238</v>
      </c>
      <c r="I27" s="2">
        <v>35988</v>
      </c>
      <c r="J27" s="2">
        <v>68246</v>
      </c>
      <c r="K27" s="2">
        <v>60565</v>
      </c>
      <c r="L27" s="2">
        <v>62540</v>
      </c>
      <c r="M27" s="2">
        <v>51020</v>
      </c>
      <c r="N27" s="4">
        <f t="shared" si="3"/>
        <v>432914</v>
      </c>
    </row>
    <row r="28" spans="1:14" ht="19.5" customHeight="1">
      <c r="A28" s="2" t="s">
        <v>42</v>
      </c>
      <c r="B28" s="2">
        <v>7212</v>
      </c>
      <c r="C28" s="2">
        <v>7859</v>
      </c>
      <c r="D28" s="2">
        <v>2847</v>
      </c>
      <c r="E28" s="2">
        <v>7559</v>
      </c>
      <c r="F28" s="2">
        <v>50104</v>
      </c>
      <c r="G28" s="2">
        <v>18464</v>
      </c>
      <c r="H28" s="2">
        <v>34582</v>
      </c>
      <c r="I28" s="2">
        <v>28963</v>
      </c>
      <c r="J28" s="2">
        <v>54045</v>
      </c>
      <c r="K28" s="2">
        <v>48875</v>
      </c>
      <c r="L28" s="2">
        <v>54305</v>
      </c>
      <c r="M28" s="2">
        <v>39371</v>
      </c>
      <c r="N28" s="4">
        <f t="shared" si="3"/>
        <v>354186</v>
      </c>
    </row>
    <row r="29" spans="1:14" ht="19.5" customHeight="1">
      <c r="A29" s="2" t="s">
        <v>43</v>
      </c>
      <c r="B29" s="2">
        <v>7633</v>
      </c>
      <c r="C29" s="2">
        <v>6916</v>
      </c>
      <c r="D29" s="2">
        <v>2713</v>
      </c>
      <c r="E29" s="2">
        <v>7180</v>
      </c>
      <c r="F29" s="2">
        <v>47100</v>
      </c>
      <c r="G29" s="2">
        <v>17405</v>
      </c>
      <c r="H29" s="2">
        <v>32559</v>
      </c>
      <c r="I29" s="2">
        <v>27303</v>
      </c>
      <c r="J29" s="2">
        <v>51080</v>
      </c>
      <c r="K29" s="2">
        <v>46074</v>
      </c>
      <c r="L29" s="2">
        <v>51193</v>
      </c>
      <c r="M29" s="2">
        <v>38395</v>
      </c>
      <c r="N29" s="4">
        <f t="shared" si="3"/>
        <v>335551</v>
      </c>
    </row>
    <row r="30" spans="1:14" ht="19.5" customHeight="1">
      <c r="A30" s="2" t="s">
        <v>44</v>
      </c>
      <c r="B30" s="2">
        <v>8046</v>
      </c>
      <c r="C30" s="2">
        <v>7122</v>
      </c>
      <c r="D30" s="2">
        <v>2964</v>
      </c>
      <c r="E30" s="2">
        <v>11434</v>
      </c>
      <c r="F30" s="2">
        <v>48557</v>
      </c>
      <c r="G30" s="2">
        <v>18222</v>
      </c>
      <c r="H30" s="2">
        <v>34186</v>
      </c>
      <c r="I30" s="2">
        <v>28232</v>
      </c>
      <c r="J30" s="2">
        <v>53213</v>
      </c>
      <c r="K30" s="2">
        <v>48123</v>
      </c>
      <c r="L30" s="2">
        <v>48123</v>
      </c>
      <c r="M30" s="2">
        <v>149181</v>
      </c>
      <c r="N30" s="4">
        <f t="shared" si="3"/>
        <v>457403</v>
      </c>
    </row>
    <row r="31" spans="1:14" ht="19.5" customHeight="1">
      <c r="A31" s="2" t="s">
        <v>45</v>
      </c>
      <c r="B31" s="2">
        <v>7998</v>
      </c>
      <c r="C31" s="2">
        <v>7148</v>
      </c>
      <c r="D31" s="2">
        <v>3040</v>
      </c>
      <c r="E31" s="2">
        <v>10508</v>
      </c>
      <c r="F31" s="2">
        <v>42533</v>
      </c>
      <c r="G31" s="2">
        <v>14942</v>
      </c>
      <c r="H31" s="2">
        <v>31451</v>
      </c>
      <c r="I31" s="2">
        <v>18779</v>
      </c>
      <c r="J31" s="2">
        <v>48247</v>
      </c>
      <c r="K31" s="2">
        <v>39804</v>
      </c>
      <c r="L31" s="2">
        <v>39804</v>
      </c>
      <c r="M31" s="2">
        <v>99510</v>
      </c>
      <c r="N31" s="4">
        <f t="shared" si="3"/>
        <v>363764</v>
      </c>
    </row>
    <row r="32" spans="1:14" ht="19.5" customHeight="1">
      <c r="A32" s="2" t="s">
        <v>46</v>
      </c>
      <c r="B32" s="2">
        <v>7425</v>
      </c>
      <c r="C32" s="2">
        <v>5881</v>
      </c>
      <c r="D32" s="2">
        <v>2650</v>
      </c>
      <c r="E32" s="2">
        <v>10483</v>
      </c>
      <c r="F32" s="2">
        <v>37292</v>
      </c>
      <c r="G32" s="2">
        <v>13247</v>
      </c>
      <c r="H32" s="2">
        <v>26311</v>
      </c>
      <c r="I32" s="2">
        <v>15987</v>
      </c>
      <c r="J32" s="2">
        <v>40251</v>
      </c>
      <c r="K32" s="2">
        <v>33688</v>
      </c>
      <c r="L32" s="2">
        <v>31405</v>
      </c>
      <c r="M32" s="6">
        <v>89931</v>
      </c>
      <c r="N32" s="4">
        <f t="shared" si="3"/>
        <v>314551</v>
      </c>
    </row>
    <row r="33" spans="1:14" ht="19.5" customHeight="1">
      <c r="A33" s="2" t="s">
        <v>109</v>
      </c>
      <c r="B33" s="2">
        <f>SUM(B21:B32)</f>
        <v>87397</v>
      </c>
      <c r="C33" s="2">
        <f aca="true" t="shared" si="4" ref="C33:M33">SUM(C21:C32)</f>
        <v>83352</v>
      </c>
      <c r="D33" s="2">
        <f t="shared" si="4"/>
        <v>36595</v>
      </c>
      <c r="E33" s="2">
        <f t="shared" si="4"/>
        <v>120122</v>
      </c>
      <c r="F33" s="2">
        <f t="shared" si="4"/>
        <v>586074</v>
      </c>
      <c r="G33" s="2">
        <f t="shared" si="4"/>
        <v>237348</v>
      </c>
      <c r="H33" s="2">
        <f t="shared" si="4"/>
        <v>421190</v>
      </c>
      <c r="I33" s="2">
        <f t="shared" si="4"/>
        <v>338329</v>
      </c>
      <c r="J33" s="2">
        <f t="shared" si="4"/>
        <v>697613</v>
      </c>
      <c r="K33" s="2">
        <f t="shared" si="4"/>
        <v>645429</v>
      </c>
      <c r="L33" s="2">
        <f t="shared" si="4"/>
        <v>668016</v>
      </c>
      <c r="M33" s="2">
        <f t="shared" si="4"/>
        <v>932245</v>
      </c>
      <c r="N33" s="4">
        <f>SUM(N21:N32)</f>
        <v>4853710</v>
      </c>
    </row>
    <row r="34" spans="1:14" ht="19.5" customHeight="1">
      <c r="A34" s="7" t="s">
        <v>47</v>
      </c>
      <c r="B34" s="5">
        <v>5700</v>
      </c>
      <c r="C34" s="5">
        <v>8934</v>
      </c>
      <c r="D34" s="5">
        <v>6479</v>
      </c>
      <c r="E34" s="5">
        <v>15079</v>
      </c>
      <c r="F34" s="5">
        <v>21533</v>
      </c>
      <c r="G34" s="5">
        <v>2137</v>
      </c>
      <c r="H34" s="5">
        <v>17661</v>
      </c>
      <c r="I34" s="5">
        <v>30068</v>
      </c>
      <c r="J34" s="5">
        <v>83055</v>
      </c>
      <c r="K34" s="2">
        <v>58159</v>
      </c>
      <c r="L34" s="2">
        <v>74183</v>
      </c>
      <c r="M34" s="2">
        <v>69732</v>
      </c>
      <c r="N34" s="4">
        <f t="shared" si="3"/>
        <v>392720</v>
      </c>
    </row>
    <row r="35" spans="1:14" ht="19.5" customHeight="1">
      <c r="A35" s="7" t="s">
        <v>48</v>
      </c>
      <c r="B35" s="2">
        <v>3776</v>
      </c>
      <c r="C35" s="2">
        <v>3778</v>
      </c>
      <c r="D35" s="2">
        <v>2146</v>
      </c>
      <c r="E35" s="2">
        <v>9286</v>
      </c>
      <c r="F35" s="2">
        <v>27845</v>
      </c>
      <c r="G35" s="2">
        <v>11511</v>
      </c>
      <c r="H35" s="2">
        <v>19134</v>
      </c>
      <c r="I35" s="2">
        <v>18759</v>
      </c>
      <c r="J35" s="2">
        <v>35800</v>
      </c>
      <c r="K35" s="2">
        <v>34534</v>
      </c>
      <c r="L35" s="2">
        <v>35173</v>
      </c>
      <c r="M35" s="2">
        <v>54359</v>
      </c>
      <c r="N35" s="4">
        <f t="shared" si="3"/>
        <v>256101</v>
      </c>
    </row>
    <row r="36" spans="1:14" ht="19.5" customHeight="1">
      <c r="A36" s="7" t="s">
        <v>49</v>
      </c>
      <c r="B36" s="2">
        <v>6162</v>
      </c>
      <c r="C36" s="2">
        <v>7074</v>
      </c>
      <c r="D36" s="2">
        <v>3073</v>
      </c>
      <c r="E36" s="2">
        <v>19613</v>
      </c>
      <c r="F36" s="2">
        <v>58404</v>
      </c>
      <c r="G36" s="2">
        <v>19014</v>
      </c>
      <c r="H36" s="2">
        <v>36338</v>
      </c>
      <c r="I36" s="2">
        <v>27387</v>
      </c>
      <c r="J36" s="2">
        <v>65704</v>
      </c>
      <c r="K36" s="2">
        <v>52817</v>
      </c>
      <c r="L36" s="2">
        <v>70423</v>
      </c>
      <c r="M36" s="2">
        <v>85094</v>
      </c>
      <c r="N36" s="4">
        <f t="shared" si="3"/>
        <v>451103</v>
      </c>
    </row>
    <row r="37" spans="1:14" ht="19.5" customHeight="1">
      <c r="A37" s="7" t="s">
        <v>50</v>
      </c>
      <c r="B37" s="2">
        <v>6388</v>
      </c>
      <c r="C37" s="2">
        <v>6551</v>
      </c>
      <c r="D37" s="2">
        <v>2899</v>
      </c>
      <c r="E37" s="2">
        <v>20067</v>
      </c>
      <c r="F37" s="2">
        <v>60702</v>
      </c>
      <c r="G37" s="2">
        <v>17725</v>
      </c>
      <c r="H37" s="2">
        <v>36378</v>
      </c>
      <c r="I37" s="2">
        <v>26024</v>
      </c>
      <c r="J37" s="2">
        <v>65624</v>
      </c>
      <c r="K37" s="2">
        <v>49587</v>
      </c>
      <c r="L37" s="2">
        <v>65940</v>
      </c>
      <c r="M37" s="2">
        <v>80447</v>
      </c>
      <c r="N37" s="4">
        <f t="shared" si="3"/>
        <v>438332</v>
      </c>
    </row>
    <row r="38" spans="1:14" ht="19.5" customHeight="1">
      <c r="A38" s="7" t="s">
        <v>51</v>
      </c>
      <c r="B38" s="2">
        <v>8128</v>
      </c>
      <c r="C38" s="2">
        <v>8983</v>
      </c>
      <c r="D38" s="2">
        <v>3225</v>
      </c>
      <c r="E38" s="2">
        <v>25161</v>
      </c>
      <c r="F38" s="2">
        <v>77653</v>
      </c>
      <c r="G38" s="2">
        <v>21367</v>
      </c>
      <c r="H38" s="2">
        <v>45583</v>
      </c>
      <c r="I38" s="2">
        <v>31928</v>
      </c>
      <c r="J38" s="2">
        <v>83382</v>
      </c>
      <c r="K38" s="2">
        <v>58329</v>
      </c>
      <c r="L38" s="2">
        <v>82889</v>
      </c>
      <c r="M38" s="2">
        <v>98238</v>
      </c>
      <c r="N38" s="4">
        <f t="shared" si="3"/>
        <v>544866</v>
      </c>
    </row>
    <row r="39" spans="1:14" ht="19.5" customHeight="1">
      <c r="A39" s="7" t="s">
        <v>52</v>
      </c>
      <c r="B39" s="2">
        <v>8073</v>
      </c>
      <c r="C39" s="2">
        <v>8036</v>
      </c>
      <c r="D39" s="2">
        <v>3169</v>
      </c>
      <c r="E39" s="2">
        <v>23237</v>
      </c>
      <c r="F39" s="2">
        <v>64491</v>
      </c>
      <c r="G39" s="2">
        <v>20493</v>
      </c>
      <c r="H39" s="2">
        <v>42644</v>
      </c>
      <c r="I39" s="2">
        <v>28462</v>
      </c>
      <c r="J39" s="2">
        <v>73342</v>
      </c>
      <c r="K39" s="2">
        <v>54891</v>
      </c>
      <c r="L39" s="2">
        <v>67089</v>
      </c>
      <c r="M39" s="2">
        <v>89960</v>
      </c>
      <c r="N39" s="4">
        <f t="shared" si="3"/>
        <v>483887</v>
      </c>
    </row>
    <row r="40" spans="1:14" ht="19.5" customHeight="1">
      <c r="A40" s="7" t="s">
        <v>53</v>
      </c>
      <c r="B40" s="2">
        <v>8516</v>
      </c>
      <c r="C40" s="2">
        <v>8131</v>
      </c>
      <c r="D40" s="2">
        <v>3302</v>
      </c>
      <c r="E40" s="2">
        <v>21189</v>
      </c>
      <c r="F40" s="2">
        <v>8422</v>
      </c>
      <c r="G40" s="2">
        <v>20365</v>
      </c>
      <c r="H40" s="2">
        <v>39777</v>
      </c>
      <c r="I40" s="2">
        <v>30331</v>
      </c>
      <c r="J40" s="2">
        <v>49411</v>
      </c>
      <c r="K40" s="2">
        <v>53080</v>
      </c>
      <c r="L40" s="2">
        <v>27081</v>
      </c>
      <c r="M40" s="2">
        <v>75828</v>
      </c>
      <c r="N40" s="4">
        <f t="shared" si="3"/>
        <v>345433</v>
      </c>
    </row>
    <row r="41" spans="1:14" ht="19.5" customHeight="1">
      <c r="A41" s="7" t="s">
        <v>54</v>
      </c>
      <c r="B41" s="2">
        <v>8341</v>
      </c>
      <c r="C41" s="2">
        <v>8333</v>
      </c>
      <c r="D41" s="2">
        <v>3667</v>
      </c>
      <c r="E41" s="2">
        <v>19207</v>
      </c>
      <c r="F41" s="2">
        <v>4039</v>
      </c>
      <c r="G41" s="2">
        <v>19480</v>
      </c>
      <c r="H41" s="2">
        <v>37401</v>
      </c>
      <c r="I41" s="2">
        <v>28570</v>
      </c>
      <c r="J41" s="2">
        <v>47792</v>
      </c>
      <c r="K41" s="2">
        <v>68828</v>
      </c>
      <c r="L41" s="2">
        <v>22726</v>
      </c>
      <c r="M41" s="2">
        <v>73048</v>
      </c>
      <c r="N41" s="4">
        <f t="shared" si="3"/>
        <v>341432</v>
      </c>
    </row>
    <row r="42" spans="1:14" ht="19.5" customHeight="1">
      <c r="A42" s="7" t="s">
        <v>55</v>
      </c>
      <c r="B42" s="2">
        <v>7660</v>
      </c>
      <c r="C42" s="2">
        <v>7544</v>
      </c>
      <c r="D42" s="2">
        <v>3201</v>
      </c>
      <c r="E42" s="2">
        <v>21871</v>
      </c>
      <c r="F42" s="2">
        <v>13204</v>
      </c>
      <c r="G42" s="2">
        <v>18923</v>
      </c>
      <c r="H42" s="2">
        <v>39690</v>
      </c>
      <c r="I42" s="2">
        <v>27495</v>
      </c>
      <c r="J42" s="2">
        <v>75450</v>
      </c>
      <c r="K42" s="2">
        <v>36391</v>
      </c>
      <c r="L42" s="2">
        <v>51554</v>
      </c>
      <c r="M42" s="2">
        <v>89461</v>
      </c>
      <c r="N42" s="4">
        <f t="shared" si="3"/>
        <v>392444</v>
      </c>
    </row>
    <row r="43" spans="1:14" ht="19.5" customHeight="1">
      <c r="A43" s="7" t="s">
        <v>56</v>
      </c>
      <c r="B43" s="2">
        <v>6552</v>
      </c>
      <c r="C43" s="2">
        <v>6565</v>
      </c>
      <c r="D43" s="2">
        <v>3615</v>
      </c>
      <c r="E43" s="2">
        <v>24426</v>
      </c>
      <c r="F43" s="2">
        <v>17146</v>
      </c>
      <c r="G43" s="2">
        <v>18567</v>
      </c>
      <c r="H43" s="2">
        <v>42086</v>
      </c>
      <c r="I43" s="2">
        <v>26322</v>
      </c>
      <c r="J43" s="2">
        <v>80201</v>
      </c>
      <c r="K43" s="2">
        <v>52288</v>
      </c>
      <c r="L43" s="2">
        <v>64026</v>
      </c>
      <c r="M43" s="2">
        <v>89369</v>
      </c>
      <c r="N43" s="4">
        <f t="shared" si="3"/>
        <v>431163</v>
      </c>
    </row>
    <row r="44" spans="1:14" ht="19.5" customHeight="1">
      <c r="A44" s="7" t="s">
        <v>57</v>
      </c>
      <c r="B44" s="2">
        <v>6482</v>
      </c>
      <c r="C44" s="2">
        <v>6704</v>
      </c>
      <c r="D44" s="2">
        <v>3384</v>
      </c>
      <c r="E44" s="2">
        <v>20258</v>
      </c>
      <c r="F44" s="2">
        <v>18073</v>
      </c>
      <c r="G44" s="2">
        <v>17201</v>
      </c>
      <c r="H44" s="2">
        <v>37191</v>
      </c>
      <c r="I44" s="2">
        <v>24794</v>
      </c>
      <c r="J44" s="2">
        <v>69880</v>
      </c>
      <c r="K44" s="2">
        <v>50557</v>
      </c>
      <c r="L44" s="2">
        <v>63922</v>
      </c>
      <c r="M44" s="2">
        <v>95883</v>
      </c>
      <c r="N44" s="4">
        <f t="shared" si="3"/>
        <v>414329</v>
      </c>
    </row>
    <row r="45" spans="1:14" ht="19.5" customHeight="1">
      <c r="A45" s="7" t="s">
        <v>58</v>
      </c>
      <c r="B45" s="2">
        <v>5965</v>
      </c>
      <c r="C45" s="2">
        <v>6188</v>
      </c>
      <c r="D45" s="2">
        <v>3238</v>
      </c>
      <c r="E45" s="2">
        <v>20806</v>
      </c>
      <c r="F45" s="2">
        <v>18585</v>
      </c>
      <c r="G45" s="2">
        <v>17210</v>
      </c>
      <c r="H45" s="2">
        <v>35076</v>
      </c>
      <c r="I45" s="2">
        <v>23220</v>
      </c>
      <c r="J45" s="2">
        <v>65312</v>
      </c>
      <c r="K45" s="2">
        <v>49172</v>
      </c>
      <c r="L45" s="2">
        <v>58904</v>
      </c>
      <c r="M45" s="2">
        <v>81954</v>
      </c>
      <c r="N45" s="4">
        <f t="shared" si="3"/>
        <v>385630</v>
      </c>
    </row>
    <row r="46" spans="1:14" ht="19.5" customHeight="1">
      <c r="A46" s="2" t="s">
        <v>110</v>
      </c>
      <c r="B46" s="2">
        <f>SUM(B34:B45)</f>
        <v>81743</v>
      </c>
      <c r="C46" s="2">
        <f aca="true" t="shared" si="5" ref="C46:N46">SUM(C34:C45)</f>
        <v>86821</v>
      </c>
      <c r="D46" s="2">
        <f t="shared" si="5"/>
        <v>41398</v>
      </c>
      <c r="E46" s="2">
        <f t="shared" si="5"/>
        <v>240200</v>
      </c>
      <c r="F46" s="2">
        <f t="shared" si="5"/>
        <v>390097</v>
      </c>
      <c r="G46" s="2">
        <f t="shared" si="5"/>
        <v>203993</v>
      </c>
      <c r="H46" s="2">
        <f t="shared" si="5"/>
        <v>428959</v>
      </c>
      <c r="I46" s="2">
        <f t="shared" si="5"/>
        <v>323360</v>
      </c>
      <c r="J46" s="2">
        <f t="shared" si="5"/>
        <v>794953</v>
      </c>
      <c r="K46" s="2">
        <f t="shared" si="5"/>
        <v>618633</v>
      </c>
      <c r="L46" s="2">
        <f t="shared" si="5"/>
        <v>683910</v>
      </c>
      <c r="M46" s="2">
        <f t="shared" si="5"/>
        <v>983373</v>
      </c>
      <c r="N46" s="2">
        <f t="shared" si="5"/>
        <v>4877440</v>
      </c>
    </row>
  </sheetData>
  <sheetProtection/>
  <mergeCells count="1">
    <mergeCell ref="A1:C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Normal="75" zoomScaleSheetLayoutView="100" zoomScalePageLayoutView="0" workbookViewId="0" topLeftCell="A1">
      <pane xSplit="1" ySplit="3" topLeftCell="B72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H53" sqref="H53"/>
    </sheetView>
  </sheetViews>
  <sheetFormatPr defaultColWidth="5.8125" defaultRowHeight="25.5"/>
  <cols>
    <col min="1" max="1" width="6.2734375" style="8" customWidth="1"/>
    <col min="2" max="4" width="5.8125" style="8" customWidth="1"/>
    <col min="5" max="5" width="6.54296875" style="8" customWidth="1"/>
    <col min="6" max="14" width="5.8125" style="8" customWidth="1"/>
    <col min="15" max="15" width="6.54296875" style="8" customWidth="1"/>
    <col min="16" max="19" width="5.8125" style="8" customWidth="1"/>
    <col min="20" max="20" width="8.36328125" style="8" customWidth="1"/>
    <col min="21" max="16384" width="5.8125" style="8" customWidth="1"/>
  </cols>
  <sheetData>
    <row r="1" spans="1:3" ht="15.75">
      <c r="A1" s="120" t="s">
        <v>77</v>
      </c>
      <c r="B1" s="120"/>
      <c r="C1" s="120"/>
    </row>
    <row r="3" spans="1:20" ht="19.5" customHeight="1">
      <c r="A3" s="9" t="s">
        <v>18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10" t="s">
        <v>68</v>
      </c>
    </row>
    <row r="4" spans="1:20" ht="24.75" customHeight="1">
      <c r="A4" s="9" t="s">
        <v>19</v>
      </c>
      <c r="B4" s="9">
        <v>74</v>
      </c>
      <c r="C4" s="9">
        <v>394</v>
      </c>
      <c r="D4" s="9">
        <v>600</v>
      </c>
      <c r="E4" s="9">
        <v>550</v>
      </c>
      <c r="F4" s="9">
        <v>647</v>
      </c>
      <c r="G4" s="9">
        <v>567</v>
      </c>
      <c r="H4" s="9">
        <v>1008</v>
      </c>
      <c r="I4" s="9">
        <v>834</v>
      </c>
      <c r="J4" s="9">
        <v>1396</v>
      </c>
      <c r="K4" s="9">
        <v>374</v>
      </c>
      <c r="L4" s="9">
        <v>658</v>
      </c>
      <c r="M4" s="9">
        <v>873</v>
      </c>
      <c r="N4" s="9">
        <v>288</v>
      </c>
      <c r="O4" s="9">
        <v>8722</v>
      </c>
      <c r="P4" s="9">
        <v>1945</v>
      </c>
      <c r="Q4" s="9">
        <v>2073</v>
      </c>
      <c r="R4" s="9">
        <v>522</v>
      </c>
      <c r="S4" s="9">
        <v>347</v>
      </c>
      <c r="T4" s="9">
        <f aca="true" t="shared" si="0" ref="T4:T23">SUM(B4:S4)</f>
        <v>21872</v>
      </c>
    </row>
    <row r="5" spans="1:20" ht="19.5" customHeight="1">
      <c r="A5" s="9" t="s">
        <v>20</v>
      </c>
      <c r="B5" s="9">
        <v>84</v>
      </c>
      <c r="C5" s="9">
        <v>1000</v>
      </c>
      <c r="D5" s="9">
        <v>899</v>
      </c>
      <c r="E5" s="9">
        <v>1156</v>
      </c>
      <c r="F5" s="9">
        <v>1134</v>
      </c>
      <c r="G5" s="9">
        <v>1143</v>
      </c>
      <c r="H5" s="9">
        <v>1</v>
      </c>
      <c r="I5" s="9">
        <v>1681</v>
      </c>
      <c r="J5" s="9">
        <v>2425</v>
      </c>
      <c r="K5" s="9">
        <v>660</v>
      </c>
      <c r="L5" s="9">
        <v>1368</v>
      </c>
      <c r="M5" s="9">
        <v>2046</v>
      </c>
      <c r="N5" s="9">
        <v>646</v>
      </c>
      <c r="O5" s="9">
        <v>16562</v>
      </c>
      <c r="P5" s="9">
        <v>3317</v>
      </c>
      <c r="Q5" s="9">
        <v>3211</v>
      </c>
      <c r="R5" s="9">
        <v>1103</v>
      </c>
      <c r="S5" s="9">
        <v>314</v>
      </c>
      <c r="T5" s="9">
        <f t="shared" si="0"/>
        <v>38750</v>
      </c>
    </row>
    <row r="6" spans="1:20" ht="19.5" customHeight="1">
      <c r="A6" s="9" t="s">
        <v>21</v>
      </c>
      <c r="B6" s="9">
        <v>102</v>
      </c>
      <c r="C6" s="9">
        <v>1102</v>
      </c>
      <c r="D6" s="9">
        <v>756</v>
      </c>
      <c r="E6" s="9">
        <v>1417</v>
      </c>
      <c r="F6" s="9">
        <v>1413</v>
      </c>
      <c r="G6" s="9">
        <v>1657</v>
      </c>
      <c r="H6" s="9">
        <v>0</v>
      </c>
      <c r="I6" s="9">
        <v>2170</v>
      </c>
      <c r="J6" s="9">
        <v>2837</v>
      </c>
      <c r="K6" s="9">
        <v>804</v>
      </c>
      <c r="L6" s="9">
        <v>1649</v>
      </c>
      <c r="M6" s="9">
        <v>2617</v>
      </c>
      <c r="N6" s="9">
        <v>828</v>
      </c>
      <c r="O6" s="9">
        <v>16135</v>
      </c>
      <c r="P6" s="9">
        <v>4186</v>
      </c>
      <c r="Q6" s="9">
        <v>3399</v>
      </c>
      <c r="R6" s="9">
        <v>1303</v>
      </c>
      <c r="S6" s="9">
        <v>1102</v>
      </c>
      <c r="T6" s="9">
        <f t="shared" si="0"/>
        <v>43477</v>
      </c>
    </row>
    <row r="7" spans="1:20" ht="19.5" customHeight="1">
      <c r="A7" s="9" t="s">
        <v>22</v>
      </c>
      <c r="B7" s="9">
        <v>130</v>
      </c>
      <c r="C7" s="9">
        <v>1502</v>
      </c>
      <c r="D7" s="9">
        <v>1071</v>
      </c>
      <c r="E7" s="9">
        <v>1871</v>
      </c>
      <c r="F7" s="9">
        <v>1894</v>
      </c>
      <c r="G7" s="9">
        <v>2492</v>
      </c>
      <c r="H7" s="11">
        <v>0</v>
      </c>
      <c r="I7" s="9">
        <v>3076</v>
      </c>
      <c r="J7" s="9">
        <v>4098</v>
      </c>
      <c r="K7" s="9">
        <v>1004</v>
      </c>
      <c r="L7" s="9">
        <v>2248</v>
      </c>
      <c r="M7" s="9">
        <v>3801</v>
      </c>
      <c r="N7" s="9">
        <v>1169</v>
      </c>
      <c r="O7" s="9">
        <v>22475</v>
      </c>
      <c r="P7" s="9">
        <v>5653</v>
      </c>
      <c r="Q7" s="9">
        <v>4564</v>
      </c>
      <c r="R7" s="9">
        <v>1864</v>
      </c>
      <c r="S7" s="9">
        <v>1135</v>
      </c>
      <c r="T7" s="9">
        <f t="shared" si="0"/>
        <v>60047</v>
      </c>
    </row>
    <row r="8" spans="1:20" ht="19.5" customHeight="1">
      <c r="A8" s="9" t="s">
        <v>107</v>
      </c>
      <c r="B8" s="9">
        <f>SUM(B4:B7)</f>
        <v>390</v>
      </c>
      <c r="C8" s="9">
        <f aca="true" t="shared" si="1" ref="C8:T8">SUM(C4:C7)</f>
        <v>3998</v>
      </c>
      <c r="D8" s="9">
        <f t="shared" si="1"/>
        <v>3326</v>
      </c>
      <c r="E8" s="9">
        <f t="shared" si="1"/>
        <v>4994</v>
      </c>
      <c r="F8" s="9">
        <f t="shared" si="1"/>
        <v>5088</v>
      </c>
      <c r="G8" s="9">
        <f t="shared" si="1"/>
        <v>5859</v>
      </c>
      <c r="H8" s="9">
        <f t="shared" si="1"/>
        <v>1009</v>
      </c>
      <c r="I8" s="9">
        <f t="shared" si="1"/>
        <v>7761</v>
      </c>
      <c r="J8" s="9">
        <f t="shared" si="1"/>
        <v>10756</v>
      </c>
      <c r="K8" s="9">
        <f t="shared" si="1"/>
        <v>2842</v>
      </c>
      <c r="L8" s="9">
        <f t="shared" si="1"/>
        <v>5923</v>
      </c>
      <c r="M8" s="9">
        <f t="shared" si="1"/>
        <v>9337</v>
      </c>
      <c r="N8" s="9">
        <f t="shared" si="1"/>
        <v>2931</v>
      </c>
      <c r="O8" s="9">
        <f t="shared" si="1"/>
        <v>63894</v>
      </c>
      <c r="P8" s="9">
        <f t="shared" si="1"/>
        <v>15101</v>
      </c>
      <c r="Q8" s="9">
        <f t="shared" si="1"/>
        <v>13247</v>
      </c>
      <c r="R8" s="9">
        <f t="shared" si="1"/>
        <v>4792</v>
      </c>
      <c r="S8" s="9">
        <f t="shared" si="1"/>
        <v>2898</v>
      </c>
      <c r="T8" s="9">
        <f t="shared" si="1"/>
        <v>164146</v>
      </c>
    </row>
    <row r="9" spans="1:20" ht="19.5" customHeight="1">
      <c r="A9" s="9" t="s">
        <v>23</v>
      </c>
      <c r="B9" s="9">
        <v>114</v>
      </c>
      <c r="C9" s="9">
        <v>1343</v>
      </c>
      <c r="D9" s="9">
        <v>1059</v>
      </c>
      <c r="E9" s="9">
        <v>1404</v>
      </c>
      <c r="F9" s="9">
        <v>1347</v>
      </c>
      <c r="G9" s="9">
        <v>1494</v>
      </c>
      <c r="H9" s="9">
        <v>0</v>
      </c>
      <c r="I9" s="9">
        <v>2137</v>
      </c>
      <c r="J9" s="9">
        <v>3676</v>
      </c>
      <c r="K9" s="9">
        <v>637</v>
      </c>
      <c r="L9" s="9">
        <v>1638</v>
      </c>
      <c r="M9" s="9">
        <v>3244</v>
      </c>
      <c r="N9" s="9">
        <v>968</v>
      </c>
      <c r="O9" s="9">
        <v>15013</v>
      </c>
      <c r="P9" s="9">
        <v>3993</v>
      </c>
      <c r="Q9" s="9">
        <v>4478</v>
      </c>
      <c r="R9" s="9">
        <v>1277</v>
      </c>
      <c r="S9" s="9">
        <v>801</v>
      </c>
      <c r="T9" s="9">
        <f t="shared" si="0"/>
        <v>44623</v>
      </c>
    </row>
    <row r="10" spans="1:20" ht="19.5" customHeight="1">
      <c r="A10" s="9" t="s">
        <v>24</v>
      </c>
      <c r="B10" s="9">
        <v>101</v>
      </c>
      <c r="C10" s="9">
        <v>988</v>
      </c>
      <c r="D10" s="9">
        <v>749</v>
      </c>
      <c r="E10" s="9">
        <v>1031</v>
      </c>
      <c r="F10" s="9">
        <v>1145</v>
      </c>
      <c r="G10" s="9">
        <v>1291</v>
      </c>
      <c r="H10" s="9">
        <v>2829</v>
      </c>
      <c r="I10" s="9">
        <v>1481</v>
      </c>
      <c r="J10" s="9">
        <v>3243</v>
      </c>
      <c r="K10" s="9">
        <v>527</v>
      </c>
      <c r="L10" s="9">
        <v>1305</v>
      </c>
      <c r="M10" s="9">
        <v>2507</v>
      </c>
      <c r="N10" s="9">
        <v>795</v>
      </c>
      <c r="O10" s="9">
        <v>14828</v>
      </c>
      <c r="P10" s="9">
        <v>3457</v>
      </c>
      <c r="Q10" s="9">
        <v>3624</v>
      </c>
      <c r="R10" s="9">
        <v>1088</v>
      </c>
      <c r="S10" s="9">
        <v>778</v>
      </c>
      <c r="T10" s="9">
        <f t="shared" si="0"/>
        <v>41767</v>
      </c>
    </row>
    <row r="11" spans="1:20" ht="19.5" customHeight="1">
      <c r="A11" s="9" t="s">
        <v>25</v>
      </c>
      <c r="B11" s="9">
        <v>765</v>
      </c>
      <c r="C11" s="9">
        <v>708</v>
      </c>
      <c r="D11" s="9">
        <v>1201</v>
      </c>
      <c r="E11" s="9">
        <v>1887</v>
      </c>
      <c r="F11" s="9">
        <v>1866</v>
      </c>
      <c r="G11" s="9">
        <v>2737</v>
      </c>
      <c r="H11" s="9">
        <v>2855</v>
      </c>
      <c r="I11" s="9">
        <v>3170</v>
      </c>
      <c r="J11" s="9">
        <v>3852</v>
      </c>
      <c r="K11" s="9">
        <v>847</v>
      </c>
      <c r="L11" s="9">
        <v>2359</v>
      </c>
      <c r="M11" s="9">
        <v>3422</v>
      </c>
      <c r="N11" s="9">
        <v>1190</v>
      </c>
      <c r="O11" s="9">
        <v>23142</v>
      </c>
      <c r="P11" s="9">
        <v>5075</v>
      </c>
      <c r="Q11" s="9">
        <v>4808</v>
      </c>
      <c r="R11" s="9">
        <v>1812</v>
      </c>
      <c r="S11" s="9">
        <v>1178</v>
      </c>
      <c r="T11" s="9">
        <f t="shared" si="0"/>
        <v>62874</v>
      </c>
    </row>
    <row r="12" spans="1:20" ht="19.5" customHeight="1">
      <c r="A12" s="9" t="s">
        <v>26</v>
      </c>
      <c r="B12" s="9">
        <v>1291</v>
      </c>
      <c r="C12" s="9">
        <v>168</v>
      </c>
      <c r="D12" s="9">
        <v>1106</v>
      </c>
      <c r="E12" s="9">
        <v>1670</v>
      </c>
      <c r="F12" s="9">
        <v>1404</v>
      </c>
      <c r="G12" s="9">
        <v>2230</v>
      </c>
      <c r="H12" s="9">
        <v>2457</v>
      </c>
      <c r="I12" s="9">
        <v>2497</v>
      </c>
      <c r="J12" s="9">
        <v>3463</v>
      </c>
      <c r="K12" s="9">
        <v>737</v>
      </c>
      <c r="L12" s="9">
        <v>1908</v>
      </c>
      <c r="M12" s="9">
        <v>3148</v>
      </c>
      <c r="N12" s="9">
        <v>1056</v>
      </c>
      <c r="O12" s="9">
        <v>22344</v>
      </c>
      <c r="P12" s="9">
        <v>4444</v>
      </c>
      <c r="Q12" s="9">
        <v>4068</v>
      </c>
      <c r="R12" s="9">
        <v>1534</v>
      </c>
      <c r="S12" s="9">
        <v>951</v>
      </c>
      <c r="T12" s="9">
        <f t="shared" si="0"/>
        <v>56476</v>
      </c>
    </row>
    <row r="13" spans="1:20" ht="19.5" customHeight="1">
      <c r="A13" s="9" t="s">
        <v>27</v>
      </c>
      <c r="B13" s="9">
        <v>1070</v>
      </c>
      <c r="C13" s="9">
        <v>134</v>
      </c>
      <c r="D13" s="9">
        <v>954</v>
      </c>
      <c r="E13" s="9">
        <v>1433</v>
      </c>
      <c r="F13" s="9">
        <v>1182</v>
      </c>
      <c r="G13" s="9">
        <v>1920</v>
      </c>
      <c r="H13" s="9">
        <v>2052</v>
      </c>
      <c r="I13" s="9">
        <v>2117</v>
      </c>
      <c r="J13" s="9">
        <v>2502</v>
      </c>
      <c r="K13" s="9">
        <v>642</v>
      </c>
      <c r="L13" s="9">
        <v>1575</v>
      </c>
      <c r="M13" s="9">
        <v>2807</v>
      </c>
      <c r="N13" s="9">
        <v>934</v>
      </c>
      <c r="O13" s="9">
        <v>22166</v>
      </c>
      <c r="P13" s="9">
        <v>3919</v>
      </c>
      <c r="Q13" s="9">
        <v>3591</v>
      </c>
      <c r="R13" s="9">
        <v>1265</v>
      </c>
      <c r="S13" s="9">
        <v>791</v>
      </c>
      <c r="T13" s="9">
        <f t="shared" si="0"/>
        <v>51054</v>
      </c>
    </row>
    <row r="14" spans="1:20" ht="19.5" customHeight="1">
      <c r="A14" s="9" t="s">
        <v>28</v>
      </c>
      <c r="B14" s="9">
        <v>787</v>
      </c>
      <c r="C14" s="9">
        <v>112</v>
      </c>
      <c r="D14" s="9">
        <v>641</v>
      </c>
      <c r="E14" s="9">
        <v>939</v>
      </c>
      <c r="F14" s="9">
        <v>876</v>
      </c>
      <c r="G14" s="9">
        <v>1113</v>
      </c>
      <c r="H14" s="9">
        <v>1368</v>
      </c>
      <c r="I14" s="9">
        <v>1401</v>
      </c>
      <c r="J14" s="9">
        <v>1759</v>
      </c>
      <c r="K14" s="9">
        <v>446</v>
      </c>
      <c r="L14" s="9">
        <v>949</v>
      </c>
      <c r="M14" s="9">
        <v>1894</v>
      </c>
      <c r="N14" s="9">
        <v>645</v>
      </c>
      <c r="O14" s="9">
        <v>15305</v>
      </c>
      <c r="P14" s="9">
        <v>3144</v>
      </c>
      <c r="Q14" s="9">
        <v>2821</v>
      </c>
      <c r="R14" s="9">
        <v>930</v>
      </c>
      <c r="S14" s="9">
        <v>662</v>
      </c>
      <c r="T14" s="9">
        <f t="shared" si="0"/>
        <v>35792</v>
      </c>
    </row>
    <row r="15" spans="1:20" ht="19.5" customHeight="1">
      <c r="A15" s="9" t="s">
        <v>29</v>
      </c>
      <c r="B15" s="9">
        <v>424</v>
      </c>
      <c r="C15" s="9">
        <v>147</v>
      </c>
      <c r="D15" s="9">
        <v>423</v>
      </c>
      <c r="E15" s="9">
        <v>637</v>
      </c>
      <c r="F15" s="9">
        <v>482</v>
      </c>
      <c r="G15" s="9">
        <v>365</v>
      </c>
      <c r="H15" s="9">
        <v>1039</v>
      </c>
      <c r="I15" s="9">
        <v>969</v>
      </c>
      <c r="J15" s="9">
        <v>1293</v>
      </c>
      <c r="K15" s="9">
        <v>196</v>
      </c>
      <c r="L15" s="9">
        <v>525</v>
      </c>
      <c r="M15" s="9">
        <v>1423</v>
      </c>
      <c r="N15" s="9">
        <v>441</v>
      </c>
      <c r="O15" s="9">
        <v>7650</v>
      </c>
      <c r="P15" s="9">
        <v>1704</v>
      </c>
      <c r="Q15" s="9">
        <v>2358</v>
      </c>
      <c r="R15" s="9">
        <v>617</v>
      </c>
      <c r="S15" s="9">
        <v>460</v>
      </c>
      <c r="T15" s="9">
        <f t="shared" si="0"/>
        <v>21153</v>
      </c>
    </row>
    <row r="16" spans="1:20" ht="19.5" customHeight="1">
      <c r="A16" s="9" t="s">
        <v>30</v>
      </c>
      <c r="B16" s="9">
        <v>524</v>
      </c>
      <c r="C16" s="9">
        <v>221</v>
      </c>
      <c r="D16" s="9">
        <v>483</v>
      </c>
      <c r="E16" s="9">
        <v>708</v>
      </c>
      <c r="F16" s="9">
        <v>524</v>
      </c>
      <c r="G16" s="9">
        <v>372</v>
      </c>
      <c r="H16" s="9">
        <v>1381</v>
      </c>
      <c r="I16" s="9">
        <v>1190</v>
      </c>
      <c r="J16" s="9">
        <v>1529</v>
      </c>
      <c r="K16" s="9">
        <v>198</v>
      </c>
      <c r="L16" s="9">
        <v>370</v>
      </c>
      <c r="M16" s="9">
        <v>1887</v>
      </c>
      <c r="N16" s="9">
        <v>573</v>
      </c>
      <c r="O16" s="9">
        <v>6113</v>
      </c>
      <c r="P16" s="9">
        <v>1966</v>
      </c>
      <c r="Q16" s="9">
        <v>2786</v>
      </c>
      <c r="R16" s="9">
        <v>671</v>
      </c>
      <c r="S16" s="9">
        <v>608</v>
      </c>
      <c r="T16" s="9">
        <f t="shared" si="0"/>
        <v>22104</v>
      </c>
    </row>
    <row r="17" spans="1:20" ht="19.5" customHeight="1">
      <c r="A17" s="9" t="s">
        <v>31</v>
      </c>
      <c r="B17" s="9">
        <v>505</v>
      </c>
      <c r="C17" s="9">
        <v>175</v>
      </c>
      <c r="D17" s="9">
        <v>502</v>
      </c>
      <c r="E17" s="9">
        <v>677</v>
      </c>
      <c r="F17" s="9">
        <v>671</v>
      </c>
      <c r="G17" s="9">
        <v>741</v>
      </c>
      <c r="H17" s="9">
        <v>1323</v>
      </c>
      <c r="I17" s="9">
        <v>1190</v>
      </c>
      <c r="J17" s="9">
        <v>1552</v>
      </c>
      <c r="K17" s="9">
        <v>396</v>
      </c>
      <c r="L17" s="9">
        <v>871</v>
      </c>
      <c r="M17" s="9">
        <v>1966</v>
      </c>
      <c r="N17" s="9">
        <v>542</v>
      </c>
      <c r="O17" s="9">
        <v>9924</v>
      </c>
      <c r="P17" s="9">
        <v>2437</v>
      </c>
      <c r="Q17" s="9">
        <v>2443</v>
      </c>
      <c r="R17" s="9">
        <v>875</v>
      </c>
      <c r="S17" s="9">
        <v>561</v>
      </c>
      <c r="T17" s="9">
        <f t="shared" si="0"/>
        <v>27351</v>
      </c>
    </row>
    <row r="18" spans="1:20" ht="19.5" customHeight="1">
      <c r="A18" s="9" t="s">
        <v>32</v>
      </c>
      <c r="B18" s="9">
        <v>770</v>
      </c>
      <c r="C18" s="9">
        <v>160</v>
      </c>
      <c r="D18" s="9">
        <v>728</v>
      </c>
      <c r="E18" s="9">
        <v>1019</v>
      </c>
      <c r="F18" s="9">
        <v>1013</v>
      </c>
      <c r="G18" s="9">
        <v>1262</v>
      </c>
      <c r="H18" s="9">
        <v>1880</v>
      </c>
      <c r="I18" s="9">
        <v>1766</v>
      </c>
      <c r="J18" s="9">
        <v>2194</v>
      </c>
      <c r="K18" s="9">
        <v>639</v>
      </c>
      <c r="L18" s="9">
        <v>1283</v>
      </c>
      <c r="M18" s="9">
        <v>2543</v>
      </c>
      <c r="N18" s="9">
        <v>720</v>
      </c>
      <c r="O18" s="9">
        <v>15828</v>
      </c>
      <c r="P18" s="9">
        <v>3537</v>
      </c>
      <c r="Q18" s="9">
        <v>2927</v>
      </c>
      <c r="R18" s="9">
        <v>1300</v>
      </c>
      <c r="S18" s="9">
        <v>737</v>
      </c>
      <c r="T18" s="9">
        <f t="shared" si="0"/>
        <v>40306</v>
      </c>
    </row>
    <row r="19" spans="1:20" ht="19.5" customHeight="1">
      <c r="A19" s="9" t="s">
        <v>33</v>
      </c>
      <c r="B19" s="9">
        <v>888</v>
      </c>
      <c r="C19" s="9">
        <v>175</v>
      </c>
      <c r="D19" s="9">
        <v>644</v>
      </c>
      <c r="E19" s="9">
        <v>1175</v>
      </c>
      <c r="F19" s="9">
        <v>1300</v>
      </c>
      <c r="G19" s="9">
        <v>1583</v>
      </c>
      <c r="H19" s="9">
        <v>2121</v>
      </c>
      <c r="I19" s="9">
        <v>2141</v>
      </c>
      <c r="J19" s="9">
        <v>2636</v>
      </c>
      <c r="K19" s="9">
        <v>749</v>
      </c>
      <c r="L19" s="9">
        <v>1536</v>
      </c>
      <c r="M19" s="9">
        <v>3059</v>
      </c>
      <c r="N19" s="9">
        <v>862</v>
      </c>
      <c r="O19" s="9">
        <v>17551</v>
      </c>
      <c r="P19" s="9">
        <v>3815</v>
      </c>
      <c r="Q19" s="9">
        <v>3230</v>
      </c>
      <c r="R19" s="9">
        <v>1387</v>
      </c>
      <c r="S19" s="9">
        <v>852</v>
      </c>
      <c r="T19" s="9">
        <f t="shared" si="0"/>
        <v>45704</v>
      </c>
    </row>
    <row r="20" spans="1:20" ht="19.5" customHeight="1">
      <c r="A20" s="9" t="s">
        <v>34</v>
      </c>
      <c r="B20" s="9">
        <v>1268</v>
      </c>
      <c r="C20" s="9">
        <v>300</v>
      </c>
      <c r="D20" s="9">
        <v>700</v>
      </c>
      <c r="E20" s="9">
        <v>1500</v>
      </c>
      <c r="F20" s="9">
        <v>2000</v>
      </c>
      <c r="G20" s="9">
        <v>2152</v>
      </c>
      <c r="H20" s="9">
        <v>3000</v>
      </c>
      <c r="I20" s="9">
        <v>2408</v>
      </c>
      <c r="J20" s="9">
        <v>4197</v>
      </c>
      <c r="K20" s="9">
        <v>766</v>
      </c>
      <c r="L20" s="9">
        <v>2801</v>
      </c>
      <c r="M20" s="9">
        <v>4568</v>
      </c>
      <c r="N20" s="9">
        <v>1281</v>
      </c>
      <c r="O20" s="9">
        <v>22562</v>
      </c>
      <c r="P20" s="9">
        <v>4510</v>
      </c>
      <c r="Q20" s="9">
        <v>5000</v>
      </c>
      <c r="R20" s="9">
        <v>1086</v>
      </c>
      <c r="S20" s="9">
        <v>1520</v>
      </c>
      <c r="T20" s="9">
        <f t="shared" si="0"/>
        <v>61619</v>
      </c>
    </row>
    <row r="21" spans="1:20" ht="19.5" customHeight="1">
      <c r="A21" s="9" t="s">
        <v>108</v>
      </c>
      <c r="B21" s="9">
        <f>SUM(B9:B20)</f>
        <v>8507</v>
      </c>
      <c r="C21" s="9">
        <f aca="true" t="shared" si="2" ref="C21:T21">SUM(C9:C20)</f>
        <v>4631</v>
      </c>
      <c r="D21" s="9">
        <f t="shared" si="2"/>
        <v>9190</v>
      </c>
      <c r="E21" s="9">
        <f t="shared" si="2"/>
        <v>14080</v>
      </c>
      <c r="F21" s="9">
        <f t="shared" si="2"/>
        <v>13810</v>
      </c>
      <c r="G21" s="9">
        <f t="shared" si="2"/>
        <v>17260</v>
      </c>
      <c r="H21" s="9">
        <f t="shared" si="2"/>
        <v>22305</v>
      </c>
      <c r="I21" s="9">
        <f t="shared" si="2"/>
        <v>22467</v>
      </c>
      <c r="J21" s="9">
        <f t="shared" si="2"/>
        <v>31896</v>
      </c>
      <c r="K21" s="9">
        <f t="shared" si="2"/>
        <v>6780</v>
      </c>
      <c r="L21" s="9">
        <f t="shared" si="2"/>
        <v>17120</v>
      </c>
      <c r="M21" s="9">
        <f t="shared" si="2"/>
        <v>32468</v>
      </c>
      <c r="N21" s="9">
        <f t="shared" si="2"/>
        <v>10007</v>
      </c>
      <c r="O21" s="9">
        <f t="shared" si="2"/>
        <v>192426</v>
      </c>
      <c r="P21" s="9">
        <f t="shared" si="2"/>
        <v>42001</v>
      </c>
      <c r="Q21" s="9">
        <f t="shared" si="2"/>
        <v>42134</v>
      </c>
      <c r="R21" s="9">
        <f t="shared" si="2"/>
        <v>13842</v>
      </c>
      <c r="S21" s="9">
        <f t="shared" si="2"/>
        <v>9899</v>
      </c>
      <c r="T21" s="9">
        <f t="shared" si="2"/>
        <v>510823</v>
      </c>
    </row>
    <row r="22" spans="1:20" ht="19.5" customHeight="1">
      <c r="A22" s="9" t="s">
        <v>35</v>
      </c>
      <c r="B22" s="9">
        <v>1000</v>
      </c>
      <c r="C22" s="9">
        <v>170</v>
      </c>
      <c r="D22" s="9">
        <v>1000</v>
      </c>
      <c r="E22" s="9">
        <v>1033</v>
      </c>
      <c r="F22" s="9">
        <v>1593</v>
      </c>
      <c r="G22" s="9">
        <v>1404</v>
      </c>
      <c r="H22" s="9">
        <v>2456</v>
      </c>
      <c r="I22" s="9">
        <v>2400</v>
      </c>
      <c r="J22" s="9">
        <v>2636</v>
      </c>
      <c r="K22" s="9">
        <v>900</v>
      </c>
      <c r="L22" s="9">
        <v>700</v>
      </c>
      <c r="M22" s="9">
        <v>3035</v>
      </c>
      <c r="N22" s="9">
        <v>862</v>
      </c>
      <c r="O22" s="9">
        <v>16838</v>
      </c>
      <c r="P22" s="9">
        <v>3600</v>
      </c>
      <c r="Q22" s="9">
        <v>2871</v>
      </c>
      <c r="R22" s="9">
        <v>2000</v>
      </c>
      <c r="S22" s="9">
        <v>500</v>
      </c>
      <c r="T22" s="9">
        <f t="shared" si="0"/>
        <v>44998</v>
      </c>
    </row>
    <row r="23" spans="1:20" ht="19.5" customHeight="1">
      <c r="A23" s="9" t="s">
        <v>36</v>
      </c>
      <c r="B23" s="9">
        <v>956</v>
      </c>
      <c r="C23" s="9">
        <v>220</v>
      </c>
      <c r="D23" s="9">
        <v>0</v>
      </c>
      <c r="E23" s="9">
        <v>1042</v>
      </c>
      <c r="F23" s="9">
        <v>1419</v>
      </c>
      <c r="G23" s="9">
        <v>1370</v>
      </c>
      <c r="H23" s="9">
        <v>2425</v>
      </c>
      <c r="I23" s="9">
        <v>1992</v>
      </c>
      <c r="J23" s="9">
        <v>2694</v>
      </c>
      <c r="K23" s="9">
        <v>513</v>
      </c>
      <c r="L23" s="9">
        <v>1384</v>
      </c>
      <c r="M23" s="9">
        <v>3330</v>
      </c>
      <c r="N23" s="9">
        <v>943</v>
      </c>
      <c r="O23" s="9">
        <v>15776</v>
      </c>
      <c r="P23" s="9">
        <v>2893</v>
      </c>
      <c r="Q23" s="9">
        <v>3415</v>
      </c>
      <c r="R23" s="9">
        <v>1114</v>
      </c>
      <c r="S23" s="9">
        <v>67</v>
      </c>
      <c r="T23" s="9">
        <f t="shared" si="0"/>
        <v>41553</v>
      </c>
    </row>
    <row r="24" spans="1:20" ht="19.5" customHeight="1">
      <c r="A24" s="9" t="s">
        <v>37</v>
      </c>
      <c r="B24" s="9">
        <v>1011</v>
      </c>
      <c r="C24" s="9">
        <v>269</v>
      </c>
      <c r="D24" s="9">
        <v>706</v>
      </c>
      <c r="E24" s="9">
        <v>1471</v>
      </c>
      <c r="F24" s="9">
        <v>2086</v>
      </c>
      <c r="G24" s="9">
        <v>1982</v>
      </c>
      <c r="H24" s="9">
        <v>2848</v>
      </c>
      <c r="I24" s="9">
        <v>2691</v>
      </c>
      <c r="J24" s="9">
        <v>3076</v>
      </c>
      <c r="K24" s="9">
        <v>567</v>
      </c>
      <c r="L24" s="9">
        <v>2087</v>
      </c>
      <c r="M24" s="9">
        <v>3542</v>
      </c>
      <c r="N24" s="9">
        <v>1157</v>
      </c>
      <c r="O24" s="9">
        <v>21664</v>
      </c>
      <c r="P24" s="9">
        <v>3903</v>
      </c>
      <c r="Q24" s="9">
        <v>3872</v>
      </c>
      <c r="R24" s="9">
        <v>1626</v>
      </c>
      <c r="S24" s="9">
        <v>1505</v>
      </c>
      <c r="T24" s="9">
        <f>SUM(B24:S24)</f>
        <v>56063</v>
      </c>
    </row>
    <row r="25" spans="1:20" ht="19.5" customHeight="1">
      <c r="A25" s="9" t="s">
        <v>38</v>
      </c>
      <c r="B25" s="9">
        <v>1045</v>
      </c>
      <c r="C25" s="9">
        <v>213</v>
      </c>
      <c r="D25" s="9">
        <v>705</v>
      </c>
      <c r="E25" s="9">
        <v>1391</v>
      </c>
      <c r="F25" s="9">
        <v>1773</v>
      </c>
      <c r="G25" s="9">
        <v>2033</v>
      </c>
      <c r="H25" s="9">
        <v>2887</v>
      </c>
      <c r="I25" s="9">
        <v>2439</v>
      </c>
      <c r="J25" s="9">
        <v>3145</v>
      </c>
      <c r="K25" s="9">
        <v>736</v>
      </c>
      <c r="L25" s="9">
        <v>1920</v>
      </c>
      <c r="M25" s="9">
        <v>3643</v>
      </c>
      <c r="N25" s="9">
        <v>1036</v>
      </c>
      <c r="O25" s="9">
        <v>24436</v>
      </c>
      <c r="P25" s="9">
        <v>2978</v>
      </c>
      <c r="Q25" s="9">
        <v>3806</v>
      </c>
      <c r="R25" s="9">
        <v>1516</v>
      </c>
      <c r="S25" s="9">
        <v>889</v>
      </c>
      <c r="T25" s="9">
        <f aca="true" t="shared" si="3" ref="T25:T46">SUM(B25:S25)</f>
        <v>56591</v>
      </c>
    </row>
    <row r="26" spans="1:20" ht="19.5" customHeight="1">
      <c r="A26" s="9" t="s">
        <v>39</v>
      </c>
      <c r="B26" s="9">
        <v>835</v>
      </c>
      <c r="C26" s="9">
        <v>165</v>
      </c>
      <c r="D26" s="9">
        <v>550</v>
      </c>
      <c r="E26" s="9">
        <v>1117</v>
      </c>
      <c r="F26" s="9">
        <v>1441</v>
      </c>
      <c r="G26" s="9">
        <v>1578</v>
      </c>
      <c r="H26" s="9">
        <v>2259</v>
      </c>
      <c r="I26" s="9">
        <v>1899</v>
      </c>
      <c r="J26" s="9">
        <v>2427</v>
      </c>
      <c r="K26" s="9">
        <v>994</v>
      </c>
      <c r="L26" s="9">
        <v>1416</v>
      </c>
      <c r="M26" s="9">
        <v>3029</v>
      </c>
      <c r="N26" s="9">
        <v>821</v>
      </c>
      <c r="O26" s="9">
        <v>22693</v>
      </c>
      <c r="P26" s="9">
        <v>2422</v>
      </c>
      <c r="Q26" s="9">
        <v>3246</v>
      </c>
      <c r="R26" s="9">
        <v>1277</v>
      </c>
      <c r="S26" s="9">
        <v>738</v>
      </c>
      <c r="T26" s="9">
        <f t="shared" si="3"/>
        <v>48907</v>
      </c>
    </row>
    <row r="27" spans="1:20" ht="19.5" customHeight="1">
      <c r="A27" s="9" t="s">
        <v>40</v>
      </c>
      <c r="B27" s="9">
        <v>604</v>
      </c>
      <c r="C27" s="9">
        <v>154</v>
      </c>
      <c r="D27" s="9">
        <v>470</v>
      </c>
      <c r="E27" s="9">
        <v>847</v>
      </c>
      <c r="F27" s="9">
        <v>971</v>
      </c>
      <c r="G27" s="9">
        <v>1024</v>
      </c>
      <c r="H27" s="9">
        <v>1613</v>
      </c>
      <c r="I27" s="9">
        <v>1320</v>
      </c>
      <c r="J27" s="9">
        <v>1850</v>
      </c>
      <c r="K27" s="9">
        <v>717</v>
      </c>
      <c r="L27" s="9">
        <v>1022</v>
      </c>
      <c r="M27" s="9">
        <v>2310</v>
      </c>
      <c r="N27" s="9">
        <v>578</v>
      </c>
      <c r="O27" s="9">
        <v>17746</v>
      </c>
      <c r="P27" s="9">
        <v>2281</v>
      </c>
      <c r="Q27" s="9">
        <v>2421</v>
      </c>
      <c r="R27" s="9">
        <v>818</v>
      </c>
      <c r="S27" s="9">
        <v>516</v>
      </c>
      <c r="T27" s="9">
        <f t="shared" si="3"/>
        <v>37262</v>
      </c>
    </row>
    <row r="28" spans="1:20" ht="19.5" customHeight="1">
      <c r="A28" s="9" t="s">
        <v>41</v>
      </c>
      <c r="B28" s="9">
        <v>585</v>
      </c>
      <c r="C28" s="9">
        <v>157</v>
      </c>
      <c r="D28" s="9">
        <v>539</v>
      </c>
      <c r="E28" s="9">
        <v>606</v>
      </c>
      <c r="F28" s="9">
        <v>424</v>
      </c>
      <c r="G28" s="9">
        <v>322</v>
      </c>
      <c r="H28" s="9">
        <v>1282</v>
      </c>
      <c r="I28" s="9">
        <v>807</v>
      </c>
      <c r="J28" s="9">
        <v>1552</v>
      </c>
      <c r="K28" s="9">
        <v>461</v>
      </c>
      <c r="L28" s="9">
        <v>579</v>
      </c>
      <c r="M28" s="9">
        <v>1948</v>
      </c>
      <c r="N28" s="9">
        <v>461</v>
      </c>
      <c r="O28" s="9">
        <v>9357</v>
      </c>
      <c r="P28" s="9">
        <v>1825</v>
      </c>
      <c r="Q28" s="9">
        <v>1839</v>
      </c>
      <c r="R28" s="9">
        <v>246</v>
      </c>
      <c r="S28" s="9">
        <v>147</v>
      </c>
      <c r="T28" s="9">
        <f t="shared" si="3"/>
        <v>23137</v>
      </c>
    </row>
    <row r="29" spans="1:20" ht="19.5" customHeight="1">
      <c r="A29" s="9" t="s">
        <v>42</v>
      </c>
      <c r="B29" s="9">
        <v>483</v>
      </c>
      <c r="C29" s="9">
        <v>293</v>
      </c>
      <c r="D29" s="9">
        <v>192</v>
      </c>
      <c r="E29" s="9">
        <v>539</v>
      </c>
      <c r="F29" s="9">
        <v>288</v>
      </c>
      <c r="G29" s="9">
        <v>158</v>
      </c>
      <c r="H29" s="9">
        <v>1186</v>
      </c>
      <c r="I29" s="9">
        <v>646</v>
      </c>
      <c r="J29" s="9">
        <v>1488</v>
      </c>
      <c r="K29" s="9">
        <v>374</v>
      </c>
      <c r="L29" s="9">
        <v>509</v>
      </c>
      <c r="M29" s="9">
        <v>1847</v>
      </c>
      <c r="N29" s="9">
        <v>435</v>
      </c>
      <c r="O29" s="9">
        <f>3315+3486</f>
        <v>6801</v>
      </c>
      <c r="P29" s="9">
        <f>998+512</f>
        <v>1510</v>
      </c>
      <c r="Q29" s="9">
        <v>1399</v>
      </c>
      <c r="R29" s="9">
        <v>259</v>
      </c>
      <c r="S29" s="9">
        <v>48</v>
      </c>
      <c r="T29" s="9">
        <f t="shared" si="3"/>
        <v>18455</v>
      </c>
    </row>
    <row r="30" spans="1:20" ht="19.5" customHeight="1">
      <c r="A30" s="9" t="s">
        <v>43</v>
      </c>
      <c r="B30" s="9">
        <v>608</v>
      </c>
      <c r="C30" s="9">
        <v>173</v>
      </c>
      <c r="D30" s="9">
        <v>414</v>
      </c>
      <c r="E30" s="9">
        <v>728</v>
      </c>
      <c r="F30" s="9">
        <v>1712</v>
      </c>
      <c r="G30" s="9">
        <v>871</v>
      </c>
      <c r="H30" s="9">
        <v>1475</v>
      </c>
      <c r="I30" s="9">
        <v>1180</v>
      </c>
      <c r="J30" s="9">
        <v>1771</v>
      </c>
      <c r="K30" s="9">
        <v>645</v>
      </c>
      <c r="L30" s="9">
        <v>853</v>
      </c>
      <c r="M30" s="9">
        <f>235+1018+842</f>
        <v>2095</v>
      </c>
      <c r="N30" s="9">
        <v>562</v>
      </c>
      <c r="O30" s="9">
        <f>5439+5639</f>
        <v>11078</v>
      </c>
      <c r="P30" s="9">
        <f>1245+870</f>
        <v>2115</v>
      </c>
      <c r="Q30" s="9">
        <v>1780</v>
      </c>
      <c r="R30" s="9">
        <v>820</v>
      </c>
      <c r="S30" s="9">
        <v>407</v>
      </c>
      <c r="T30" s="9">
        <f t="shared" si="3"/>
        <v>29287</v>
      </c>
    </row>
    <row r="31" spans="1:20" ht="19.5" customHeight="1">
      <c r="A31" s="9" t="s">
        <v>44</v>
      </c>
      <c r="B31" s="9">
        <v>882</v>
      </c>
      <c r="C31" s="9">
        <v>153</v>
      </c>
      <c r="D31" s="9">
        <v>500</v>
      </c>
      <c r="E31" s="9">
        <v>1157</v>
      </c>
      <c r="F31" s="9">
        <v>218</v>
      </c>
      <c r="G31" s="9">
        <v>1503</v>
      </c>
      <c r="H31" s="9">
        <v>2167</v>
      </c>
      <c r="I31" s="9">
        <v>1887</v>
      </c>
      <c r="J31" s="9">
        <v>2402</v>
      </c>
      <c r="K31" s="9">
        <v>721</v>
      </c>
      <c r="L31" s="9">
        <v>1442</v>
      </c>
      <c r="M31" s="9">
        <f>424+1334+1158</f>
        <v>2916</v>
      </c>
      <c r="N31" s="9">
        <v>843</v>
      </c>
      <c r="O31" s="9">
        <f>6447+6646</f>
        <v>13093</v>
      </c>
      <c r="P31" s="9">
        <f>1876+1513</f>
        <v>3389</v>
      </c>
      <c r="Q31" s="9">
        <v>2546</v>
      </c>
      <c r="R31" s="9">
        <v>1383</v>
      </c>
      <c r="S31" s="9">
        <v>669</v>
      </c>
      <c r="T31" s="9">
        <f t="shared" si="3"/>
        <v>37871</v>
      </c>
    </row>
    <row r="32" spans="1:20" ht="19.5" customHeight="1">
      <c r="A32" s="9" t="s">
        <v>45</v>
      </c>
      <c r="B32" s="9">
        <v>1011</v>
      </c>
      <c r="C32" s="9">
        <v>183</v>
      </c>
      <c r="D32" s="9">
        <v>500</v>
      </c>
      <c r="E32" s="9">
        <v>1320</v>
      </c>
      <c r="F32" s="9">
        <v>1523</v>
      </c>
      <c r="G32" s="9">
        <v>1873</v>
      </c>
      <c r="H32" s="9">
        <v>2457</v>
      </c>
      <c r="I32" s="9">
        <v>2307</v>
      </c>
      <c r="J32" s="9">
        <v>2763</v>
      </c>
      <c r="K32" s="9">
        <v>1223</v>
      </c>
      <c r="L32" s="9">
        <v>1657</v>
      </c>
      <c r="M32" s="9">
        <f>558+1352+1376</f>
        <v>3286</v>
      </c>
      <c r="N32" s="9">
        <v>1001</v>
      </c>
      <c r="O32" s="9">
        <f>9941+10156</f>
        <v>20097</v>
      </c>
      <c r="P32" s="9">
        <v>3447</v>
      </c>
      <c r="Q32" s="9">
        <v>2974</v>
      </c>
      <c r="R32" s="9">
        <v>1601</v>
      </c>
      <c r="S32" s="9">
        <v>662</v>
      </c>
      <c r="T32" s="9">
        <f t="shared" si="3"/>
        <v>49885</v>
      </c>
    </row>
    <row r="33" spans="1:20" ht="19.5" customHeight="1">
      <c r="A33" s="9" t="s">
        <v>46</v>
      </c>
      <c r="B33" s="9">
        <v>1001</v>
      </c>
      <c r="C33" s="9">
        <v>635</v>
      </c>
      <c r="D33" s="9">
        <v>702</v>
      </c>
      <c r="E33" s="9">
        <v>1725</v>
      </c>
      <c r="F33" s="9">
        <v>1942</v>
      </c>
      <c r="G33" s="9">
        <v>2520</v>
      </c>
      <c r="H33" s="9">
        <v>3084</v>
      </c>
      <c r="I33" s="9">
        <v>3090</v>
      </c>
      <c r="J33" s="9">
        <v>2629</v>
      </c>
      <c r="K33" s="9">
        <v>1675</v>
      </c>
      <c r="L33" s="9">
        <v>2166</v>
      </c>
      <c r="M33" s="9">
        <f>775+1647+1810</f>
        <v>4232</v>
      </c>
      <c r="N33" s="9">
        <v>1359</v>
      </c>
      <c r="O33" s="9">
        <f>12662+12968</f>
        <v>25630</v>
      </c>
      <c r="P33" s="12">
        <f>2476+2299</f>
        <v>4775</v>
      </c>
      <c r="Q33" s="9">
        <v>4196</v>
      </c>
      <c r="R33" s="9">
        <v>2060</v>
      </c>
      <c r="S33" s="9">
        <v>909</v>
      </c>
      <c r="T33" s="9">
        <f t="shared" si="3"/>
        <v>64330</v>
      </c>
    </row>
    <row r="34" spans="1:20" ht="19.5" customHeight="1">
      <c r="A34" s="9" t="s">
        <v>109</v>
      </c>
      <c r="B34" s="9">
        <f>SUM(B22:B33)</f>
        <v>10021</v>
      </c>
      <c r="C34" s="9">
        <f aca="true" t="shared" si="4" ref="C34:T34">SUM(C22:C33)</f>
        <v>2785</v>
      </c>
      <c r="D34" s="9">
        <f t="shared" si="4"/>
        <v>6278</v>
      </c>
      <c r="E34" s="9">
        <f t="shared" si="4"/>
        <v>12976</v>
      </c>
      <c r="F34" s="9">
        <f t="shared" si="4"/>
        <v>15390</v>
      </c>
      <c r="G34" s="9">
        <f t="shared" si="4"/>
        <v>16638</v>
      </c>
      <c r="H34" s="9">
        <f t="shared" si="4"/>
        <v>26139</v>
      </c>
      <c r="I34" s="9">
        <f t="shared" si="4"/>
        <v>22658</v>
      </c>
      <c r="J34" s="9">
        <f t="shared" si="4"/>
        <v>28433</v>
      </c>
      <c r="K34" s="9">
        <f t="shared" si="4"/>
        <v>9526</v>
      </c>
      <c r="L34" s="9">
        <f t="shared" si="4"/>
        <v>15735</v>
      </c>
      <c r="M34" s="9">
        <f t="shared" si="4"/>
        <v>35213</v>
      </c>
      <c r="N34" s="9">
        <f t="shared" si="4"/>
        <v>10058</v>
      </c>
      <c r="O34" s="9">
        <f t="shared" si="4"/>
        <v>205209</v>
      </c>
      <c r="P34" s="9">
        <f t="shared" si="4"/>
        <v>35138</v>
      </c>
      <c r="Q34" s="9">
        <f t="shared" si="4"/>
        <v>34365</v>
      </c>
      <c r="R34" s="9">
        <f t="shared" si="4"/>
        <v>14720</v>
      </c>
      <c r="S34" s="9">
        <f t="shared" si="4"/>
        <v>7057</v>
      </c>
      <c r="T34" s="9">
        <f t="shared" si="4"/>
        <v>508339</v>
      </c>
    </row>
    <row r="35" spans="1:20" ht="19.5" customHeight="1">
      <c r="A35" s="13" t="s">
        <v>47</v>
      </c>
      <c r="B35" s="11">
        <v>1563</v>
      </c>
      <c r="C35" s="11">
        <v>354</v>
      </c>
      <c r="D35" s="11">
        <v>829</v>
      </c>
      <c r="E35" s="11">
        <v>1364</v>
      </c>
      <c r="F35" s="11">
        <v>1616</v>
      </c>
      <c r="G35" s="11">
        <v>1955</v>
      </c>
      <c r="H35" s="11">
        <v>3533</v>
      </c>
      <c r="I35" s="11">
        <v>2723</v>
      </c>
      <c r="J35" s="11">
        <v>4894</v>
      </c>
      <c r="K35" s="11">
        <v>1434</v>
      </c>
      <c r="L35" s="11">
        <v>1781</v>
      </c>
      <c r="M35" s="9">
        <f>978+1927+2091</f>
        <v>4996</v>
      </c>
      <c r="N35" s="11">
        <v>1484</v>
      </c>
      <c r="O35" s="9">
        <f>10249+10467</f>
        <v>20716</v>
      </c>
      <c r="P35" s="9">
        <f>1878+1710</f>
        <v>3588</v>
      </c>
      <c r="Q35" s="11">
        <v>4669</v>
      </c>
      <c r="R35" s="11">
        <v>1625</v>
      </c>
      <c r="S35" s="11">
        <v>744</v>
      </c>
      <c r="T35" s="9">
        <f t="shared" si="3"/>
        <v>59868</v>
      </c>
    </row>
    <row r="36" spans="1:20" ht="19.5" customHeight="1">
      <c r="A36" s="13" t="s">
        <v>48</v>
      </c>
      <c r="B36" s="9">
        <v>848</v>
      </c>
      <c r="C36" s="9">
        <v>101</v>
      </c>
      <c r="D36" s="9">
        <v>296</v>
      </c>
      <c r="E36" s="9">
        <v>701</v>
      </c>
      <c r="F36" s="9">
        <v>975</v>
      </c>
      <c r="G36" s="9">
        <v>987</v>
      </c>
      <c r="H36" s="9">
        <v>1693</v>
      </c>
      <c r="I36" s="9">
        <v>1457</v>
      </c>
      <c r="J36" s="9">
        <v>2023</v>
      </c>
      <c r="K36" s="9">
        <v>771</v>
      </c>
      <c r="L36" s="9">
        <v>791</v>
      </c>
      <c r="M36" s="9">
        <f>422+1011+877</f>
        <v>2310</v>
      </c>
      <c r="N36" s="9">
        <v>668</v>
      </c>
      <c r="O36" s="9">
        <f>6374+6531</f>
        <v>12905</v>
      </c>
      <c r="P36" s="9">
        <f>965+680</f>
        <v>1645</v>
      </c>
      <c r="Q36" s="9">
        <v>2722</v>
      </c>
      <c r="R36" s="9">
        <v>859</v>
      </c>
      <c r="S36" s="9">
        <v>343</v>
      </c>
      <c r="T36" s="9">
        <f t="shared" si="3"/>
        <v>32095</v>
      </c>
    </row>
    <row r="37" spans="1:20" ht="19.5" customHeight="1">
      <c r="A37" s="13" t="s">
        <v>49</v>
      </c>
      <c r="B37" s="9">
        <v>1582</v>
      </c>
      <c r="C37" s="9">
        <v>173</v>
      </c>
      <c r="D37" s="9">
        <v>704</v>
      </c>
      <c r="E37" s="9">
        <v>1546</v>
      </c>
      <c r="F37" s="9">
        <v>1782</v>
      </c>
      <c r="G37" s="9">
        <v>2457</v>
      </c>
      <c r="H37" s="9">
        <v>3126</v>
      </c>
      <c r="I37" s="9">
        <v>2960</v>
      </c>
      <c r="J37" s="9">
        <v>3570</v>
      </c>
      <c r="K37" s="9">
        <v>1662</v>
      </c>
      <c r="L37" s="9">
        <v>2113</v>
      </c>
      <c r="M37" s="9">
        <f>883+1807+1672</f>
        <v>4362</v>
      </c>
      <c r="N37" s="9">
        <v>1279</v>
      </c>
      <c r="O37" s="9">
        <f>17387+17667</f>
        <v>35054</v>
      </c>
      <c r="P37" s="9">
        <f>2051+1656</f>
        <v>3707</v>
      </c>
      <c r="Q37" s="9">
        <v>3110</v>
      </c>
      <c r="R37" s="9">
        <v>1697</v>
      </c>
      <c r="S37" s="9">
        <v>812</v>
      </c>
      <c r="T37" s="9">
        <f t="shared" si="3"/>
        <v>71696</v>
      </c>
    </row>
    <row r="38" spans="1:20" ht="19.5" customHeight="1">
      <c r="A38" s="13" t="s">
        <v>50</v>
      </c>
      <c r="B38" s="9">
        <v>828</v>
      </c>
      <c r="C38" s="9">
        <v>88</v>
      </c>
      <c r="D38" s="9">
        <v>0</v>
      </c>
      <c r="E38" s="9">
        <v>852</v>
      </c>
      <c r="F38" s="9">
        <v>970</v>
      </c>
      <c r="G38" s="9">
        <v>1362</v>
      </c>
      <c r="H38" s="9">
        <v>1725</v>
      </c>
      <c r="I38" s="9">
        <v>1609</v>
      </c>
      <c r="J38" s="9">
        <v>1873</v>
      </c>
      <c r="K38" s="9">
        <v>940</v>
      </c>
      <c r="L38" s="9">
        <v>1161</v>
      </c>
      <c r="M38" s="9">
        <f>403+1067+913</f>
        <v>2383</v>
      </c>
      <c r="N38" s="9">
        <v>701</v>
      </c>
      <c r="O38" s="9">
        <f>10908+11116</f>
        <v>22024</v>
      </c>
      <c r="P38" s="9">
        <f>1216+963</f>
        <v>2179</v>
      </c>
      <c r="Q38" s="9">
        <v>2059</v>
      </c>
      <c r="R38" s="9">
        <v>979</v>
      </c>
      <c r="S38" s="9">
        <v>468</v>
      </c>
      <c r="T38" s="9">
        <f t="shared" si="3"/>
        <v>42201</v>
      </c>
    </row>
    <row r="39" spans="1:20" ht="19.5" customHeight="1">
      <c r="A39" s="13" t="s">
        <v>51</v>
      </c>
      <c r="B39" s="9">
        <v>883</v>
      </c>
      <c r="C39" s="9">
        <v>97</v>
      </c>
      <c r="D39" s="9">
        <v>473</v>
      </c>
      <c r="E39" s="9">
        <v>897</v>
      </c>
      <c r="F39" s="9">
        <v>999</v>
      </c>
      <c r="G39" s="9">
        <v>1288</v>
      </c>
      <c r="H39" s="9">
        <v>1729</v>
      </c>
      <c r="I39" s="9">
        <v>1632</v>
      </c>
      <c r="J39" s="9">
        <v>1807</v>
      </c>
      <c r="K39" s="9">
        <v>907</v>
      </c>
      <c r="L39" s="9">
        <v>1167</v>
      </c>
      <c r="M39" s="9">
        <f>481+915+1055</f>
        <v>2451</v>
      </c>
      <c r="N39" s="9">
        <v>644</v>
      </c>
      <c r="O39" s="9">
        <f>13748+14001</f>
        <v>27749</v>
      </c>
      <c r="P39" s="9">
        <f>1556+978</f>
        <v>2534</v>
      </c>
      <c r="Q39" s="9">
        <v>2068</v>
      </c>
      <c r="R39" s="9">
        <v>983</v>
      </c>
      <c r="S39" s="9">
        <v>427</v>
      </c>
      <c r="T39" s="9">
        <f t="shared" si="3"/>
        <v>48735</v>
      </c>
    </row>
    <row r="40" spans="1:20" ht="19.5" customHeight="1">
      <c r="A40" s="13" t="s">
        <v>52</v>
      </c>
      <c r="B40" s="9">
        <v>761</v>
      </c>
      <c r="C40" s="9">
        <v>73</v>
      </c>
      <c r="D40" s="9">
        <v>400</v>
      </c>
      <c r="E40" s="9">
        <v>711</v>
      </c>
      <c r="F40" s="9">
        <v>787</v>
      </c>
      <c r="G40" s="9">
        <v>1077</v>
      </c>
      <c r="H40" s="9">
        <v>1374</v>
      </c>
      <c r="I40" s="9">
        <v>1329</v>
      </c>
      <c r="J40" s="9">
        <v>1390</v>
      </c>
      <c r="K40" s="9">
        <v>694</v>
      </c>
      <c r="L40" s="9">
        <v>879</v>
      </c>
      <c r="M40" s="9">
        <f>544+672+713</f>
        <v>1929</v>
      </c>
      <c r="N40" s="9">
        <v>515</v>
      </c>
      <c r="O40" s="9">
        <f>10953+11170</f>
        <v>22123</v>
      </c>
      <c r="P40" s="9">
        <f>1426+788</f>
        <v>2214</v>
      </c>
      <c r="Q40" s="9">
        <v>1629</v>
      </c>
      <c r="R40" s="9">
        <v>794</v>
      </c>
      <c r="S40" s="9">
        <v>275</v>
      </c>
      <c r="T40" s="9">
        <f t="shared" si="3"/>
        <v>38954</v>
      </c>
    </row>
    <row r="41" spans="1:20" ht="19.5" customHeight="1">
      <c r="A41" s="13" t="s">
        <v>53</v>
      </c>
      <c r="B41" s="9">
        <v>853</v>
      </c>
      <c r="C41" s="9">
        <v>48</v>
      </c>
      <c r="D41" s="9">
        <v>754</v>
      </c>
      <c r="E41" s="9">
        <v>643</v>
      </c>
      <c r="F41" s="9">
        <v>387</v>
      </c>
      <c r="G41" s="9">
        <v>224</v>
      </c>
      <c r="H41" s="9">
        <v>1290</v>
      </c>
      <c r="I41" s="9">
        <v>833</v>
      </c>
      <c r="J41" s="9">
        <v>1818</v>
      </c>
      <c r="K41" s="9">
        <v>574</v>
      </c>
      <c r="L41" s="9">
        <v>225</v>
      </c>
      <c r="M41" s="9">
        <f>668+728+657</f>
        <v>2053</v>
      </c>
      <c r="N41" s="9">
        <v>452</v>
      </c>
      <c r="O41" s="9">
        <f>4735+4961</f>
        <v>9696</v>
      </c>
      <c r="P41" s="9">
        <f>1516+591</f>
        <v>2107</v>
      </c>
      <c r="Q41" s="9">
        <v>1611</v>
      </c>
      <c r="R41" s="9">
        <v>614</v>
      </c>
      <c r="S41" s="9">
        <v>161</v>
      </c>
      <c r="T41" s="9">
        <f t="shared" si="3"/>
        <v>24343</v>
      </c>
    </row>
    <row r="42" spans="1:20" ht="19.5" customHeight="1">
      <c r="A42" s="13" t="s">
        <v>54</v>
      </c>
      <c r="B42" s="9">
        <v>764</v>
      </c>
      <c r="C42" s="9">
        <v>44</v>
      </c>
      <c r="D42" s="9">
        <v>206</v>
      </c>
      <c r="E42" s="9">
        <v>507</v>
      </c>
      <c r="F42" s="9">
        <v>317</v>
      </c>
      <c r="G42" s="9">
        <v>140</v>
      </c>
      <c r="H42" s="9">
        <v>1060</v>
      </c>
      <c r="I42" s="9">
        <v>1641</v>
      </c>
      <c r="J42" s="9">
        <v>618</v>
      </c>
      <c r="K42" s="9">
        <v>440</v>
      </c>
      <c r="L42" s="9">
        <v>237</v>
      </c>
      <c r="M42" s="9">
        <f>367+673+702</f>
        <v>1742</v>
      </c>
      <c r="N42" s="9">
        <v>366</v>
      </c>
      <c r="O42" s="9">
        <f>6526+6743</f>
        <v>13269</v>
      </c>
      <c r="P42" s="9">
        <f>1377+464</f>
        <v>1841</v>
      </c>
      <c r="Q42" s="9">
        <v>1383</v>
      </c>
      <c r="R42" s="9">
        <v>515</v>
      </c>
      <c r="S42" s="9">
        <v>176</v>
      </c>
      <c r="T42" s="9">
        <f t="shared" si="3"/>
        <v>25266</v>
      </c>
    </row>
    <row r="43" spans="1:20" ht="19.5" customHeight="1">
      <c r="A43" s="13" t="s">
        <v>55</v>
      </c>
      <c r="B43" s="9">
        <v>764</v>
      </c>
      <c r="C43" s="9">
        <v>22</v>
      </c>
      <c r="D43" s="9">
        <v>252</v>
      </c>
      <c r="E43" s="9">
        <v>753</v>
      </c>
      <c r="F43" s="9">
        <v>587</v>
      </c>
      <c r="G43" s="9">
        <v>704</v>
      </c>
      <c r="H43" s="9">
        <v>1260</v>
      </c>
      <c r="I43" s="9">
        <v>1388</v>
      </c>
      <c r="J43" s="9">
        <v>1330</v>
      </c>
      <c r="K43" s="9">
        <v>623</v>
      </c>
      <c r="L43" s="9">
        <v>808</v>
      </c>
      <c r="M43" s="9">
        <f>132+742+848</f>
        <v>1722</v>
      </c>
      <c r="N43" s="9">
        <v>406</v>
      </c>
      <c r="O43" s="9">
        <f>8688+8931</f>
        <v>17619</v>
      </c>
      <c r="P43" s="9">
        <f>1418+750</f>
        <v>2168</v>
      </c>
      <c r="Q43" s="9">
        <v>1609</v>
      </c>
      <c r="R43" s="9">
        <v>836</v>
      </c>
      <c r="S43" s="9">
        <v>344</v>
      </c>
      <c r="T43" s="9">
        <f t="shared" si="3"/>
        <v>33195</v>
      </c>
    </row>
    <row r="44" spans="1:20" ht="19.5" customHeight="1">
      <c r="A44" s="13" t="s">
        <v>56</v>
      </c>
      <c r="B44" s="9">
        <v>407</v>
      </c>
      <c r="C44" s="9">
        <v>636</v>
      </c>
      <c r="D44" s="9">
        <v>402</v>
      </c>
      <c r="E44" s="9">
        <v>1382</v>
      </c>
      <c r="F44" s="9">
        <v>1191</v>
      </c>
      <c r="G44" s="9">
        <v>1465</v>
      </c>
      <c r="H44" s="9">
        <v>2250</v>
      </c>
      <c r="I44" s="9">
        <v>2439</v>
      </c>
      <c r="J44" s="9">
        <v>2453</v>
      </c>
      <c r="K44" s="9">
        <v>1255</v>
      </c>
      <c r="L44" s="9">
        <v>1544</v>
      </c>
      <c r="M44" s="9">
        <f>280+1561+1136</f>
        <v>2977</v>
      </c>
      <c r="N44" s="9">
        <v>801</v>
      </c>
      <c r="O44" s="9">
        <f>13872+14228</f>
        <v>28100</v>
      </c>
      <c r="P44" s="9">
        <f>2139+1368</f>
        <v>3507</v>
      </c>
      <c r="Q44" s="9">
        <v>2737</v>
      </c>
      <c r="R44" s="9">
        <v>1493</v>
      </c>
      <c r="S44" s="9">
        <v>646</v>
      </c>
      <c r="T44" s="9">
        <f t="shared" si="3"/>
        <v>55685</v>
      </c>
    </row>
    <row r="45" spans="1:20" ht="19.5" customHeight="1">
      <c r="A45" s="13" t="s">
        <v>57</v>
      </c>
      <c r="B45" s="9">
        <v>276</v>
      </c>
      <c r="C45" s="9">
        <v>826</v>
      </c>
      <c r="D45" s="9">
        <v>443</v>
      </c>
      <c r="E45" s="9">
        <v>1549</v>
      </c>
      <c r="F45" s="9">
        <v>1581</v>
      </c>
      <c r="G45" s="9">
        <v>1743</v>
      </c>
      <c r="H45" s="9">
        <v>2623</v>
      </c>
      <c r="I45" s="9">
        <v>2664</v>
      </c>
      <c r="J45" s="9">
        <v>2943</v>
      </c>
      <c r="K45" s="9">
        <v>1553</v>
      </c>
      <c r="L45" s="9">
        <v>1847</v>
      </c>
      <c r="M45" s="9">
        <f>444+1611+1183</f>
        <v>3238</v>
      </c>
      <c r="N45" s="9">
        <v>980</v>
      </c>
      <c r="O45" s="9">
        <f>13509+13886</f>
        <v>27395</v>
      </c>
      <c r="P45" s="9">
        <f>2105+1624</f>
        <v>3729</v>
      </c>
      <c r="Q45" s="9">
        <v>3131</v>
      </c>
      <c r="R45" s="9">
        <v>1637</v>
      </c>
      <c r="S45" s="9">
        <v>756</v>
      </c>
      <c r="T45" s="9">
        <f t="shared" si="3"/>
        <v>58914</v>
      </c>
    </row>
    <row r="46" spans="1:20" ht="19.5" customHeight="1">
      <c r="A46" s="13" t="s">
        <v>58</v>
      </c>
      <c r="B46" s="9">
        <v>451</v>
      </c>
      <c r="C46" s="9">
        <v>1019</v>
      </c>
      <c r="D46" s="9">
        <v>109</v>
      </c>
      <c r="E46" s="9">
        <v>1820</v>
      </c>
      <c r="F46" s="9">
        <v>1923</v>
      </c>
      <c r="G46" s="9">
        <v>2088</v>
      </c>
      <c r="H46" s="9">
        <v>3084</v>
      </c>
      <c r="I46" s="9">
        <v>3080</v>
      </c>
      <c r="J46" s="9">
        <v>3458</v>
      </c>
      <c r="K46" s="9">
        <v>1814</v>
      </c>
      <c r="L46" s="9">
        <v>2205</v>
      </c>
      <c r="M46" s="9">
        <f>578+1751+1365</f>
        <v>3694</v>
      </c>
      <c r="N46" s="9">
        <v>1142</v>
      </c>
      <c r="O46" s="9">
        <f>14191+14589</f>
        <v>28780</v>
      </c>
      <c r="P46" s="9">
        <f>2138+2181</f>
        <v>4319</v>
      </c>
      <c r="Q46" s="9">
        <v>3612</v>
      </c>
      <c r="R46" s="9">
        <v>1926</v>
      </c>
      <c r="S46" s="9">
        <v>923</v>
      </c>
      <c r="T46" s="9">
        <f t="shared" si="3"/>
        <v>65447</v>
      </c>
    </row>
    <row r="47" spans="1:20" ht="19.5" customHeight="1">
      <c r="A47" s="13" t="s">
        <v>111</v>
      </c>
      <c r="B47" s="9">
        <f>SUM(B35:B46)</f>
        <v>9980</v>
      </c>
      <c r="C47" s="9">
        <f aca="true" t="shared" si="5" ref="C47:T47">SUM(C35:C46)</f>
        <v>3481</v>
      </c>
      <c r="D47" s="9">
        <f t="shared" si="5"/>
        <v>4868</v>
      </c>
      <c r="E47" s="9">
        <f t="shared" si="5"/>
        <v>12725</v>
      </c>
      <c r="F47" s="9">
        <f t="shared" si="5"/>
        <v>13115</v>
      </c>
      <c r="G47" s="9">
        <f t="shared" si="5"/>
        <v>15490</v>
      </c>
      <c r="H47" s="9">
        <f t="shared" si="5"/>
        <v>24747</v>
      </c>
      <c r="I47" s="9">
        <f t="shared" si="5"/>
        <v>23755</v>
      </c>
      <c r="J47" s="9">
        <f t="shared" si="5"/>
        <v>28177</v>
      </c>
      <c r="K47" s="9">
        <f t="shared" si="5"/>
        <v>12667</v>
      </c>
      <c r="L47" s="9">
        <f t="shared" si="5"/>
        <v>14758</v>
      </c>
      <c r="M47" s="9">
        <f t="shared" si="5"/>
        <v>33857</v>
      </c>
      <c r="N47" s="9">
        <f t="shared" si="5"/>
        <v>9438</v>
      </c>
      <c r="O47" s="9">
        <f t="shared" si="5"/>
        <v>265430</v>
      </c>
      <c r="P47" s="9">
        <f t="shared" si="5"/>
        <v>33538</v>
      </c>
      <c r="Q47" s="9">
        <f t="shared" si="5"/>
        <v>30340</v>
      </c>
      <c r="R47" s="9">
        <f t="shared" si="5"/>
        <v>13958</v>
      </c>
      <c r="S47" s="9">
        <f t="shared" si="5"/>
        <v>6075</v>
      </c>
      <c r="T47" s="9">
        <f t="shared" si="5"/>
        <v>556399</v>
      </c>
    </row>
    <row r="48" ht="19.5" customHeight="1">
      <c r="A48" s="48"/>
    </row>
    <row r="49" ht="19.5" customHeight="1">
      <c r="A49" s="48"/>
    </row>
    <row r="50" ht="19.5" customHeight="1">
      <c r="A50" s="48"/>
    </row>
    <row r="51" ht="19.5" customHeight="1">
      <c r="A51" s="48"/>
    </row>
    <row r="52" ht="19.5" customHeight="1">
      <c r="A52" s="48"/>
    </row>
    <row r="53" ht="19.5" customHeight="1">
      <c r="A53" s="48"/>
    </row>
    <row r="54" ht="19.5" customHeight="1">
      <c r="A54" s="48"/>
    </row>
    <row r="55" ht="19.5" customHeight="1">
      <c r="A55" s="48"/>
    </row>
    <row r="56" ht="19.5" customHeight="1">
      <c r="A56" s="48"/>
    </row>
    <row r="57" ht="19.5" customHeight="1">
      <c r="A57" s="48"/>
    </row>
    <row r="58" ht="19.5" customHeight="1">
      <c r="A58" s="48"/>
    </row>
    <row r="59" ht="19.5" customHeight="1">
      <c r="A59" s="48"/>
    </row>
    <row r="60" ht="19.5" customHeight="1">
      <c r="A60" s="48"/>
    </row>
    <row r="61" ht="19.5" customHeight="1">
      <c r="A61" s="48"/>
    </row>
    <row r="62" ht="19.5" customHeight="1">
      <c r="A62" s="48"/>
    </row>
    <row r="63" ht="19.5" customHeight="1">
      <c r="A63" s="48"/>
    </row>
    <row r="64" ht="19.5" customHeight="1">
      <c r="A64" s="48"/>
    </row>
    <row r="65" ht="19.5" customHeight="1">
      <c r="A65" s="48"/>
    </row>
    <row r="66" ht="19.5" customHeight="1">
      <c r="A66" s="48"/>
    </row>
    <row r="67" ht="19.5" customHeight="1">
      <c r="A67" s="48"/>
    </row>
    <row r="68" ht="19.5" customHeight="1">
      <c r="A68" s="48"/>
    </row>
    <row r="69" ht="19.5" customHeight="1">
      <c r="A69" s="48"/>
    </row>
    <row r="70" ht="19.5" customHeight="1">
      <c r="A70" s="48"/>
    </row>
    <row r="71" spans="1:20" s="31" customFormat="1" ht="19.5" customHeight="1">
      <c r="A71" s="3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s="31" customFormat="1" ht="19.5" customHeight="1">
      <c r="A72" s="3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s="31" customFormat="1" ht="19.5" customHeight="1">
      <c r="A73" s="3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s="31" customFormat="1" ht="19.5" customHeight="1">
      <c r="A74" s="30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s="31" customFormat="1" ht="19.5" customHeight="1">
      <c r="A75" s="3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="33" customFormat="1" ht="15.75"/>
    <row r="77" s="33" customFormat="1" ht="15.75"/>
    <row r="78" s="33" customFormat="1" ht="15.75"/>
    <row r="79" s="33" customFormat="1" ht="15.75"/>
    <row r="80" s="33" customFormat="1" ht="15.75"/>
    <row r="81" s="33" customFormat="1" ht="15.75"/>
    <row r="82" s="33" customFormat="1" ht="15.75"/>
    <row r="83" s="33" customFormat="1" ht="15.75"/>
    <row r="84" s="33" customFormat="1" ht="15.75"/>
    <row r="85" s="33" customFormat="1" ht="15.75"/>
    <row r="86" s="33" customFormat="1" ht="15.75"/>
    <row r="87" s="33" customFormat="1" ht="15.75"/>
    <row r="88" s="33" customFormat="1" ht="15.75"/>
    <row r="89" s="33" customFormat="1" ht="15.75"/>
    <row r="90" s="33" customFormat="1" ht="15.75"/>
  </sheetData>
  <sheetProtection/>
  <mergeCells count="1">
    <mergeCell ref="A1:C1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4"/>
  <sheetViews>
    <sheetView zoomScalePageLayoutView="0" workbookViewId="0" topLeftCell="A142">
      <pane xSplit="1" ySplit="5" topLeftCell="F309" activePane="bottomRight" state="frozen"/>
      <selection pane="topLeft" activeCell="A142" sqref="A142"/>
      <selection pane="topRight" activeCell="B142" sqref="B142"/>
      <selection pane="bottomLeft" activeCell="A147" sqref="A147"/>
      <selection pane="bottomRight" activeCell="V323" sqref="V323"/>
    </sheetView>
  </sheetViews>
  <sheetFormatPr defaultColWidth="5.8125" defaultRowHeight="25.5"/>
  <cols>
    <col min="1" max="1" width="10.18359375" style="8" customWidth="1"/>
    <col min="2" max="2" width="6.99609375" style="8" customWidth="1"/>
    <col min="3" max="4" width="5.8125" style="8" customWidth="1"/>
    <col min="5" max="5" width="6.90625" style="8" customWidth="1"/>
    <col min="6" max="6" width="5.8125" style="8" customWidth="1"/>
    <col min="7" max="7" width="6.18359375" style="8" customWidth="1"/>
    <col min="8" max="9" width="6.90625" style="8" customWidth="1"/>
    <col min="10" max="11" width="5.8125" style="8" customWidth="1"/>
    <col min="12" max="12" width="6.90625" style="8" customWidth="1"/>
    <col min="13" max="13" width="6.54296875" style="8" customWidth="1"/>
    <col min="14" max="17" width="6.90625" style="8" customWidth="1"/>
    <col min="18" max="18" width="8.36328125" style="8" customWidth="1"/>
    <col min="19" max="19" width="8.6328125" style="8" customWidth="1"/>
    <col min="20" max="21" width="8.72265625" style="8" customWidth="1"/>
    <col min="22" max="22" width="7.6328125" style="8" customWidth="1"/>
    <col min="23" max="23" width="7.18359375" style="8" customWidth="1"/>
    <col min="24" max="16384" width="5.8125" style="8" customWidth="1"/>
  </cols>
  <sheetData>
    <row r="1" spans="1:4" ht="15.75">
      <c r="A1" s="121" t="s">
        <v>78</v>
      </c>
      <c r="B1" s="121"/>
      <c r="C1" s="121"/>
      <c r="D1" s="121"/>
    </row>
    <row r="2" spans="1:18" ht="19.5" customHeight="1">
      <c r="A2" s="9" t="s">
        <v>18</v>
      </c>
      <c r="B2" s="9" t="s">
        <v>72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69</v>
      </c>
      <c r="P2" s="9" t="s">
        <v>15</v>
      </c>
      <c r="Q2" s="9" t="s">
        <v>16</v>
      </c>
      <c r="R2" s="10" t="s">
        <v>68</v>
      </c>
    </row>
    <row r="3" spans="1:18" ht="15.75">
      <c r="A3" s="13" t="s">
        <v>47</v>
      </c>
      <c r="B3" s="11">
        <v>893</v>
      </c>
      <c r="C3" s="11">
        <v>318</v>
      </c>
      <c r="D3" s="11">
        <v>680</v>
      </c>
      <c r="E3" s="11">
        <v>1666</v>
      </c>
      <c r="F3" s="11">
        <v>13</v>
      </c>
      <c r="G3" s="11">
        <v>2013</v>
      </c>
      <c r="H3" s="11">
        <v>1200</v>
      </c>
      <c r="I3" s="11">
        <v>4348</v>
      </c>
      <c r="J3" s="11">
        <f>1037+94</f>
        <v>1131</v>
      </c>
      <c r="K3" s="11">
        <v>782</v>
      </c>
      <c r="L3" s="9">
        <v>2284</v>
      </c>
      <c r="M3" s="11">
        <v>649</v>
      </c>
      <c r="N3" s="9">
        <v>3757</v>
      </c>
      <c r="O3" s="9">
        <v>585</v>
      </c>
      <c r="P3" s="11">
        <v>1473</v>
      </c>
      <c r="Q3" s="11">
        <v>1280</v>
      </c>
      <c r="R3" s="9">
        <f aca="true" t="shared" si="0" ref="R3:R14">SUM(B3:Q3)</f>
        <v>23072</v>
      </c>
    </row>
    <row r="4" spans="1:18" ht="15.75">
      <c r="A4" s="13" t="s">
        <v>48</v>
      </c>
      <c r="B4" s="9">
        <v>478</v>
      </c>
      <c r="C4" s="9">
        <v>176</v>
      </c>
      <c r="D4" s="9">
        <v>378</v>
      </c>
      <c r="E4" s="9">
        <v>971</v>
      </c>
      <c r="F4" s="9">
        <v>3</v>
      </c>
      <c r="G4" s="9">
        <v>1042</v>
      </c>
      <c r="H4" s="9">
        <v>1000</v>
      </c>
      <c r="I4" s="9">
        <v>2565</v>
      </c>
      <c r="J4" s="9">
        <f>626+55</f>
        <v>681</v>
      </c>
      <c r="K4" s="9">
        <v>442</v>
      </c>
      <c r="L4" s="9">
        <v>1026</v>
      </c>
      <c r="M4" s="9">
        <v>327</v>
      </c>
      <c r="N4" s="9">
        <v>2479</v>
      </c>
      <c r="O4" s="9">
        <v>1000</v>
      </c>
      <c r="P4" s="9">
        <v>770</v>
      </c>
      <c r="Q4" s="9">
        <v>1009</v>
      </c>
      <c r="R4" s="9">
        <f t="shared" si="0"/>
        <v>14347</v>
      </c>
    </row>
    <row r="5" spans="1:18" ht="15.75">
      <c r="A5" s="13" t="s">
        <v>49</v>
      </c>
      <c r="B5" s="9">
        <v>797</v>
      </c>
      <c r="C5" s="9">
        <v>317</v>
      </c>
      <c r="D5" s="9">
        <v>1007</v>
      </c>
      <c r="E5" s="9">
        <v>2522</v>
      </c>
      <c r="F5" s="9">
        <v>4</v>
      </c>
      <c r="G5" s="9">
        <v>2258</v>
      </c>
      <c r="H5" s="9">
        <v>383</v>
      </c>
      <c r="I5" s="9">
        <v>4669</v>
      </c>
      <c r="J5" s="12">
        <f>1451+131</f>
        <v>1582</v>
      </c>
      <c r="K5" s="9">
        <v>1109</v>
      </c>
      <c r="L5" s="9">
        <v>2123</v>
      </c>
      <c r="M5" s="9">
        <v>704</v>
      </c>
      <c r="N5" s="9">
        <v>6030</v>
      </c>
      <c r="O5" s="9">
        <v>1101</v>
      </c>
      <c r="P5" s="9">
        <v>1514</v>
      </c>
      <c r="Q5" s="9">
        <v>2064</v>
      </c>
      <c r="R5" s="9">
        <f t="shared" si="0"/>
        <v>28184</v>
      </c>
    </row>
    <row r="6" spans="1:18" ht="15.75">
      <c r="A6" s="13" t="s">
        <v>50</v>
      </c>
      <c r="B6" s="9">
        <v>491</v>
      </c>
      <c r="C6" s="9">
        <v>187</v>
      </c>
      <c r="D6" s="9">
        <v>661</v>
      </c>
      <c r="E6" s="9">
        <v>1780</v>
      </c>
      <c r="F6" s="9">
        <v>4</v>
      </c>
      <c r="G6" s="9">
        <v>1394</v>
      </c>
      <c r="H6" s="9">
        <v>323</v>
      </c>
      <c r="I6" s="9">
        <v>2685</v>
      </c>
      <c r="J6" s="9">
        <f>936+105</f>
        <v>1041</v>
      </c>
      <c r="K6" s="9">
        <v>741</v>
      </c>
      <c r="L6" s="9">
        <v>1282</v>
      </c>
      <c r="M6" s="9">
        <v>455</v>
      </c>
      <c r="N6" s="9">
        <v>4264</v>
      </c>
      <c r="O6" s="9">
        <v>696</v>
      </c>
      <c r="P6" s="9">
        <v>1001</v>
      </c>
      <c r="Q6" s="9">
        <v>1394</v>
      </c>
      <c r="R6" s="9">
        <f t="shared" si="0"/>
        <v>18399</v>
      </c>
    </row>
    <row r="7" spans="1:18" ht="15.75">
      <c r="A7" s="13" t="s">
        <v>51</v>
      </c>
      <c r="B7" s="9">
        <v>670</v>
      </c>
      <c r="C7" s="9">
        <v>255</v>
      </c>
      <c r="D7" s="9">
        <v>943</v>
      </c>
      <c r="E7" s="9">
        <v>2324</v>
      </c>
      <c r="F7" s="9">
        <v>3</v>
      </c>
      <c r="G7" s="9">
        <v>1910</v>
      </c>
      <c r="H7" s="9">
        <v>1170</v>
      </c>
      <c r="I7" s="9">
        <v>3672</v>
      </c>
      <c r="J7" s="9">
        <f>1266+122</f>
        <v>1388</v>
      </c>
      <c r="K7" s="9">
        <v>1006</v>
      </c>
      <c r="L7" s="9">
        <v>1536</v>
      </c>
      <c r="M7" s="9">
        <v>578</v>
      </c>
      <c r="N7" s="9">
        <v>5412</v>
      </c>
      <c r="O7" s="9">
        <v>2482</v>
      </c>
      <c r="P7" s="9">
        <v>1238</v>
      </c>
      <c r="Q7" s="9">
        <v>838</v>
      </c>
      <c r="R7" s="9">
        <f t="shared" si="0"/>
        <v>25425</v>
      </c>
    </row>
    <row r="8" spans="1:18" ht="15.75">
      <c r="A8" s="13" t="s">
        <v>52</v>
      </c>
      <c r="B8" s="9">
        <v>562</v>
      </c>
      <c r="C8" s="9">
        <v>227</v>
      </c>
      <c r="D8" s="9">
        <v>809</v>
      </c>
      <c r="E8" s="9">
        <v>2542</v>
      </c>
      <c r="F8" s="9">
        <v>90</v>
      </c>
      <c r="G8" s="9">
        <v>1723</v>
      </c>
      <c r="H8" s="9">
        <v>1016</v>
      </c>
      <c r="I8" s="9">
        <v>3251</v>
      </c>
      <c r="J8" s="9">
        <f>1207+90</f>
        <v>1297</v>
      </c>
      <c r="K8" s="9">
        <v>819</v>
      </c>
      <c r="L8" s="9">
        <v>1323</v>
      </c>
      <c r="M8" s="9">
        <v>529</v>
      </c>
      <c r="N8" s="9">
        <v>1733</v>
      </c>
      <c r="O8" s="9">
        <v>2044</v>
      </c>
      <c r="P8" s="9">
        <v>1130</v>
      </c>
      <c r="Q8" s="9">
        <v>743</v>
      </c>
      <c r="R8" s="9">
        <f t="shared" si="0"/>
        <v>19838</v>
      </c>
    </row>
    <row r="9" spans="1:18" ht="15.75">
      <c r="A9" s="13" t="s">
        <v>53</v>
      </c>
      <c r="B9" s="9">
        <v>655</v>
      </c>
      <c r="C9" s="9">
        <v>243</v>
      </c>
      <c r="D9" s="9">
        <v>694</v>
      </c>
      <c r="E9" s="9">
        <v>6</v>
      </c>
      <c r="F9" s="9">
        <v>400</v>
      </c>
      <c r="G9" s="9">
        <v>1886</v>
      </c>
      <c r="H9" s="9">
        <v>979</v>
      </c>
      <c r="I9" s="9">
        <v>3937</v>
      </c>
      <c r="J9" s="9">
        <f>1133+77</f>
        <v>1210</v>
      </c>
      <c r="K9" s="9">
        <v>142</v>
      </c>
      <c r="L9" s="9">
        <v>1377</v>
      </c>
      <c r="M9" s="9">
        <v>463</v>
      </c>
      <c r="N9" s="9">
        <v>4078</v>
      </c>
      <c r="O9" s="9">
        <v>1721</v>
      </c>
      <c r="P9" s="9">
        <v>1205</v>
      </c>
      <c r="Q9" s="9">
        <v>584</v>
      </c>
      <c r="R9" s="9">
        <f t="shared" si="0"/>
        <v>19580</v>
      </c>
    </row>
    <row r="10" spans="1:18" ht="15.75">
      <c r="A10" s="13" t="s">
        <v>54</v>
      </c>
      <c r="B10" s="9">
        <v>599</v>
      </c>
      <c r="C10" s="9">
        <v>244</v>
      </c>
      <c r="D10" s="9">
        <v>532</v>
      </c>
      <c r="E10" s="9">
        <v>29</v>
      </c>
      <c r="F10" s="9">
        <v>179</v>
      </c>
      <c r="G10" s="9">
        <v>1701</v>
      </c>
      <c r="H10" s="9">
        <v>772</v>
      </c>
      <c r="I10" s="9">
        <v>3830</v>
      </c>
      <c r="J10" s="9">
        <f>1072+57</f>
        <v>1129</v>
      </c>
      <c r="K10" s="9">
        <v>151</v>
      </c>
      <c r="L10" s="9">
        <v>1283</v>
      </c>
      <c r="M10" s="9">
        <v>409</v>
      </c>
      <c r="N10" s="9">
        <v>1251</v>
      </c>
      <c r="O10" s="9">
        <v>1161</v>
      </c>
      <c r="P10" s="9">
        <v>1039</v>
      </c>
      <c r="Q10" s="9">
        <v>505</v>
      </c>
      <c r="R10" s="9">
        <f t="shared" si="0"/>
        <v>14814</v>
      </c>
    </row>
    <row r="11" spans="1:18" ht="15.75">
      <c r="A11" s="13" t="s">
        <v>55</v>
      </c>
      <c r="B11" s="9">
        <v>476</v>
      </c>
      <c r="C11" s="9">
        <v>232</v>
      </c>
      <c r="D11" s="9">
        <v>717</v>
      </c>
      <c r="E11" s="9">
        <v>1390</v>
      </c>
      <c r="F11" s="9">
        <v>211</v>
      </c>
      <c r="G11" s="9">
        <v>1475</v>
      </c>
      <c r="H11" s="9">
        <v>947</v>
      </c>
      <c r="I11" s="9">
        <v>3295</v>
      </c>
      <c r="J11" s="9">
        <f>1125+130</f>
        <v>1255</v>
      </c>
      <c r="K11" s="9">
        <v>894</v>
      </c>
      <c r="L11" s="9">
        <v>1347</v>
      </c>
      <c r="M11" s="9">
        <v>450</v>
      </c>
      <c r="N11" s="9">
        <v>3152</v>
      </c>
      <c r="O11" s="9">
        <v>1997</v>
      </c>
      <c r="P11" s="9">
        <v>1019</v>
      </c>
      <c r="Q11" s="9">
        <v>809</v>
      </c>
      <c r="R11" s="9">
        <f t="shared" si="0"/>
        <v>19666</v>
      </c>
    </row>
    <row r="12" spans="1:18" ht="15.75">
      <c r="A12" s="13" t="s">
        <v>56</v>
      </c>
      <c r="B12" s="9">
        <v>666</v>
      </c>
      <c r="C12" s="9">
        <v>318</v>
      </c>
      <c r="D12" s="9">
        <v>1092</v>
      </c>
      <c r="E12" s="9">
        <v>2263</v>
      </c>
      <c r="F12" s="9">
        <v>38</v>
      </c>
      <c r="G12" s="9">
        <v>2204</v>
      </c>
      <c r="H12" s="9">
        <v>1289</v>
      </c>
      <c r="I12" s="9">
        <v>3459</v>
      </c>
      <c r="J12" s="9">
        <f>1549+217</f>
        <v>1766</v>
      </c>
      <c r="K12" s="9">
        <v>1186</v>
      </c>
      <c r="L12" s="9">
        <v>1895</v>
      </c>
      <c r="M12" s="9">
        <v>676</v>
      </c>
      <c r="N12" s="9">
        <v>4736</v>
      </c>
      <c r="O12" s="9">
        <v>2996</v>
      </c>
      <c r="P12" s="9">
        <v>1486</v>
      </c>
      <c r="Q12" s="9">
        <v>1106</v>
      </c>
      <c r="R12" s="9">
        <f t="shared" si="0"/>
        <v>27176</v>
      </c>
    </row>
    <row r="13" spans="1:18" ht="15.75">
      <c r="A13" s="13" t="s">
        <v>57</v>
      </c>
      <c r="B13" s="9">
        <v>597</v>
      </c>
      <c r="C13" s="9">
        <v>282</v>
      </c>
      <c r="D13" s="9">
        <v>971</v>
      </c>
      <c r="E13" s="9">
        <v>2007</v>
      </c>
      <c r="F13" s="9">
        <v>1973</v>
      </c>
      <c r="G13" s="9">
        <v>1183</v>
      </c>
      <c r="H13" s="9">
        <v>2844</v>
      </c>
      <c r="I13" s="9">
        <v>955</v>
      </c>
      <c r="J13" s="9">
        <v>657</v>
      </c>
      <c r="K13" s="9">
        <v>1026</v>
      </c>
      <c r="L13" s="9">
        <v>1600</v>
      </c>
      <c r="M13" s="9">
        <v>608</v>
      </c>
      <c r="N13" s="9">
        <v>4172</v>
      </c>
      <c r="O13" s="9">
        <v>2893</v>
      </c>
      <c r="P13" s="9">
        <v>1294</v>
      </c>
      <c r="Q13" s="9">
        <v>981</v>
      </c>
      <c r="R13" s="9">
        <f t="shared" si="0"/>
        <v>24043</v>
      </c>
    </row>
    <row r="14" spans="1:18" ht="15.75">
      <c r="A14" s="13" t="s">
        <v>58</v>
      </c>
      <c r="B14" s="9">
        <v>635</v>
      </c>
      <c r="C14" s="9">
        <v>285</v>
      </c>
      <c r="D14" s="9">
        <v>979</v>
      </c>
      <c r="E14" s="9">
        <v>0</v>
      </c>
      <c r="F14" s="9">
        <v>1988</v>
      </c>
      <c r="G14" s="9">
        <v>2035</v>
      </c>
      <c r="H14" s="9">
        <v>1135</v>
      </c>
      <c r="I14" s="9">
        <v>2897</v>
      </c>
      <c r="J14" s="9">
        <v>1759</v>
      </c>
      <c r="K14" s="9">
        <v>1033</v>
      </c>
      <c r="L14" s="9">
        <v>1486</v>
      </c>
      <c r="M14" s="9">
        <v>591</v>
      </c>
      <c r="N14" s="9">
        <v>4116</v>
      </c>
      <c r="O14" s="9">
        <v>2495</v>
      </c>
      <c r="P14" s="9">
        <v>1303</v>
      </c>
      <c r="Q14" s="9">
        <v>966</v>
      </c>
      <c r="R14" s="9">
        <f t="shared" si="0"/>
        <v>23703</v>
      </c>
    </row>
    <row r="15" spans="1:18" ht="15.75">
      <c r="A15" s="9" t="s">
        <v>110</v>
      </c>
      <c r="B15" s="9">
        <f>SUM(B3:B14)</f>
        <v>7519</v>
      </c>
      <c r="C15" s="9">
        <f aca="true" t="shared" si="1" ref="C15:R15">SUM(C3:C14)</f>
        <v>3084</v>
      </c>
      <c r="D15" s="9">
        <f t="shared" si="1"/>
        <v>9463</v>
      </c>
      <c r="E15" s="9">
        <f t="shared" si="1"/>
        <v>17500</v>
      </c>
      <c r="F15" s="9">
        <f t="shared" si="1"/>
        <v>4906</v>
      </c>
      <c r="G15" s="9">
        <f t="shared" si="1"/>
        <v>20824</v>
      </c>
      <c r="H15" s="9">
        <f t="shared" si="1"/>
        <v>13058</v>
      </c>
      <c r="I15" s="9">
        <f t="shared" si="1"/>
        <v>39563</v>
      </c>
      <c r="J15" s="9">
        <f t="shared" si="1"/>
        <v>14896</v>
      </c>
      <c r="K15" s="9">
        <f t="shared" si="1"/>
        <v>9331</v>
      </c>
      <c r="L15" s="9">
        <f t="shared" si="1"/>
        <v>18562</v>
      </c>
      <c r="M15" s="9">
        <f t="shared" si="1"/>
        <v>6439</v>
      </c>
      <c r="N15" s="9">
        <f t="shared" si="1"/>
        <v>45180</v>
      </c>
      <c r="O15" s="9">
        <f t="shared" si="1"/>
        <v>21171</v>
      </c>
      <c r="P15" s="9">
        <f t="shared" si="1"/>
        <v>14472</v>
      </c>
      <c r="Q15" s="9">
        <f t="shared" si="1"/>
        <v>12279</v>
      </c>
      <c r="R15" s="9">
        <f t="shared" si="1"/>
        <v>258247</v>
      </c>
    </row>
    <row r="16" spans="1:18" s="45" customFormat="1" ht="19.5" customHeight="1">
      <c r="A16" s="43" t="s">
        <v>74</v>
      </c>
      <c r="B16" s="44">
        <f>SUM(B4:B15)</f>
        <v>14145</v>
      </c>
      <c r="C16" s="44">
        <f aca="true" t="shared" si="2" ref="C16:R16">SUM(C4:C15)</f>
        <v>5850</v>
      </c>
      <c r="D16" s="44">
        <f t="shared" si="2"/>
        <v>18246</v>
      </c>
      <c r="E16" s="44">
        <f t="shared" si="2"/>
        <v>33334</v>
      </c>
      <c r="F16" s="44">
        <f t="shared" si="2"/>
        <v>9799</v>
      </c>
      <c r="G16" s="44">
        <f t="shared" si="2"/>
        <v>39635</v>
      </c>
      <c r="H16" s="44">
        <f t="shared" si="2"/>
        <v>24916</v>
      </c>
      <c r="I16" s="44">
        <f t="shared" si="2"/>
        <v>74778</v>
      </c>
      <c r="J16" s="44">
        <f t="shared" si="2"/>
        <v>28661</v>
      </c>
      <c r="K16" s="44">
        <f t="shared" si="2"/>
        <v>17880</v>
      </c>
      <c r="L16" s="44">
        <f t="shared" si="2"/>
        <v>34840</v>
      </c>
      <c r="M16" s="44">
        <f t="shared" si="2"/>
        <v>12229</v>
      </c>
      <c r="N16" s="44">
        <f t="shared" si="2"/>
        <v>86603</v>
      </c>
      <c r="O16" s="44">
        <f t="shared" si="2"/>
        <v>41757</v>
      </c>
      <c r="P16" s="44">
        <f t="shared" si="2"/>
        <v>27471</v>
      </c>
      <c r="Q16" s="44">
        <f t="shared" si="2"/>
        <v>23278</v>
      </c>
      <c r="R16" s="44">
        <f t="shared" si="2"/>
        <v>493422</v>
      </c>
    </row>
    <row r="17" spans="1:18" s="22" customFormat="1" ht="19.5" customHeight="1">
      <c r="A17" s="20" t="s">
        <v>71</v>
      </c>
      <c r="B17" s="21">
        <f aca="true" t="shared" si="3" ref="B17:R17">B16/12</f>
        <v>1178.75</v>
      </c>
      <c r="C17" s="21">
        <f t="shared" si="3"/>
        <v>487.5</v>
      </c>
      <c r="D17" s="21">
        <f t="shared" si="3"/>
        <v>1520.5</v>
      </c>
      <c r="E17" s="21">
        <f t="shared" si="3"/>
        <v>2777.8333333333335</v>
      </c>
      <c r="F17" s="21">
        <f t="shared" si="3"/>
        <v>816.5833333333334</v>
      </c>
      <c r="G17" s="21">
        <f t="shared" si="3"/>
        <v>3302.9166666666665</v>
      </c>
      <c r="H17" s="21">
        <f t="shared" si="3"/>
        <v>2076.3333333333335</v>
      </c>
      <c r="I17" s="21">
        <f t="shared" si="3"/>
        <v>6231.5</v>
      </c>
      <c r="J17" s="21">
        <f t="shared" si="3"/>
        <v>2388.4166666666665</v>
      </c>
      <c r="K17" s="21">
        <f t="shared" si="3"/>
        <v>1490</v>
      </c>
      <c r="L17" s="21">
        <f t="shared" si="3"/>
        <v>2903.3333333333335</v>
      </c>
      <c r="M17" s="21">
        <f t="shared" si="3"/>
        <v>1019.0833333333334</v>
      </c>
      <c r="N17" s="21">
        <f t="shared" si="3"/>
        <v>7216.916666666667</v>
      </c>
      <c r="O17" s="21">
        <f t="shared" si="3"/>
        <v>3479.75</v>
      </c>
      <c r="P17" s="21">
        <f t="shared" si="3"/>
        <v>2289.25</v>
      </c>
      <c r="Q17" s="21">
        <f t="shared" si="3"/>
        <v>1939.8333333333333</v>
      </c>
      <c r="R17" s="21">
        <f t="shared" si="3"/>
        <v>41118.5</v>
      </c>
    </row>
    <row r="18" spans="1:18" s="22" customFormat="1" ht="19.5" customHeight="1">
      <c r="A18" s="20" t="s">
        <v>135</v>
      </c>
      <c r="B18" s="21">
        <f>B17/(129+93)</f>
        <v>5.309684684684685</v>
      </c>
      <c r="C18" s="21">
        <f>C17/42</f>
        <v>11.607142857142858</v>
      </c>
      <c r="D18" s="21">
        <f>D17/194</f>
        <v>7.837628865979381</v>
      </c>
      <c r="E18" s="21">
        <f>E17/296</f>
        <v>9.384572072072073</v>
      </c>
      <c r="F18" s="21">
        <f>F17/359</f>
        <v>2.2746053853296195</v>
      </c>
      <c r="G18" s="21">
        <f>G17/368</f>
        <v>8.975317028985506</v>
      </c>
      <c r="H18" s="21">
        <f>H17/312</f>
        <v>6.654914529914531</v>
      </c>
      <c r="I18" s="21">
        <f>I17/(99+120+122)</f>
        <v>18.274193548387096</v>
      </c>
      <c r="J18" s="21">
        <f>J17/295</f>
        <v>8.096327683615819</v>
      </c>
      <c r="K18" s="21">
        <f>K17/282</f>
        <v>5.283687943262412</v>
      </c>
      <c r="L18" s="21">
        <f>L17/(363+80)</f>
        <v>6.553799849510911</v>
      </c>
      <c r="M18" s="21">
        <f>M17/127</f>
        <v>8.024278215223097</v>
      </c>
      <c r="N18" s="21">
        <f>N17/750</f>
        <v>9.622555555555556</v>
      </c>
      <c r="O18" s="21">
        <f>O17/(328+160)</f>
        <v>7.130635245901639</v>
      </c>
      <c r="P18" s="21">
        <f>P17/320</f>
        <v>7.15390625</v>
      </c>
      <c r="Q18" s="21">
        <f>Q17/192</f>
        <v>10.10329861111111</v>
      </c>
      <c r="R18" s="21">
        <f>R17/5031</f>
        <v>8.173027231166767</v>
      </c>
    </row>
    <row r="19" spans="1:18" s="22" customFormat="1" ht="15.75">
      <c r="A19" s="23" t="s">
        <v>142</v>
      </c>
      <c r="B19" s="21">
        <f aca="true" t="shared" si="4" ref="B19:R19">B18*12/2.5</f>
        <v>25.486486486486488</v>
      </c>
      <c r="C19" s="21">
        <f t="shared" si="4"/>
        <v>55.71428571428571</v>
      </c>
      <c r="D19" s="21">
        <f t="shared" si="4"/>
        <v>37.620618556701025</v>
      </c>
      <c r="E19" s="21">
        <f t="shared" si="4"/>
        <v>45.045945945945945</v>
      </c>
      <c r="F19" s="21">
        <f t="shared" si="4"/>
        <v>10.918105849582172</v>
      </c>
      <c r="G19" s="21">
        <f t="shared" si="4"/>
        <v>43.08152173913042</v>
      </c>
      <c r="H19" s="21">
        <f t="shared" si="4"/>
        <v>31.943589743589747</v>
      </c>
      <c r="I19" s="21">
        <f t="shared" si="4"/>
        <v>87.71612903225807</v>
      </c>
      <c r="J19" s="21">
        <f t="shared" si="4"/>
        <v>38.86237288135593</v>
      </c>
      <c r="K19" s="21">
        <f t="shared" si="4"/>
        <v>25.361702127659576</v>
      </c>
      <c r="L19" s="21">
        <f t="shared" si="4"/>
        <v>31.458239277652375</v>
      </c>
      <c r="M19" s="21">
        <f t="shared" si="4"/>
        <v>38.516535433070864</v>
      </c>
      <c r="N19" s="21">
        <f t="shared" si="4"/>
        <v>46.188266666666664</v>
      </c>
      <c r="O19" s="21">
        <f t="shared" si="4"/>
        <v>34.22704918032787</v>
      </c>
      <c r="P19" s="21">
        <f t="shared" si="4"/>
        <v>34.338750000000005</v>
      </c>
      <c r="Q19" s="21">
        <f t="shared" si="4"/>
        <v>48.49583333333333</v>
      </c>
      <c r="R19" s="21">
        <f t="shared" si="4"/>
        <v>39.23053070960048</v>
      </c>
    </row>
    <row r="20" spans="1:4" ht="15.75">
      <c r="A20" s="37"/>
      <c r="B20" s="37"/>
      <c r="C20" s="37"/>
      <c r="D20" s="37"/>
    </row>
    <row r="21" spans="1:4" ht="15.75">
      <c r="A21" s="37"/>
      <c r="B21" s="37"/>
      <c r="C21" s="37"/>
      <c r="D21" s="37"/>
    </row>
    <row r="22" spans="1:18" ht="19.5" customHeight="1">
      <c r="A22" s="9" t="s">
        <v>18</v>
      </c>
      <c r="B22" s="9" t="s">
        <v>72</v>
      </c>
      <c r="C22" s="9" t="s">
        <v>2</v>
      </c>
      <c r="D22" s="9" t="s">
        <v>3</v>
      </c>
      <c r="E22" s="9" t="s">
        <v>4</v>
      </c>
      <c r="F22" s="9" t="s">
        <v>5</v>
      </c>
      <c r="G22" s="9" t="s">
        <v>6</v>
      </c>
      <c r="H22" s="9" t="s">
        <v>7</v>
      </c>
      <c r="I22" s="9" t="s">
        <v>8</v>
      </c>
      <c r="J22" s="9" t="s">
        <v>9</v>
      </c>
      <c r="K22" s="9" t="s">
        <v>10</v>
      </c>
      <c r="L22" s="9" t="s">
        <v>11</v>
      </c>
      <c r="M22" s="9" t="s">
        <v>12</v>
      </c>
      <c r="N22" s="9" t="s">
        <v>13</v>
      </c>
      <c r="O22" s="9" t="s">
        <v>138</v>
      </c>
      <c r="P22" s="9" t="s">
        <v>15</v>
      </c>
      <c r="Q22" s="9" t="s">
        <v>16</v>
      </c>
      <c r="R22" s="10" t="s">
        <v>134</v>
      </c>
    </row>
    <row r="23" spans="1:18" ht="19.5" customHeight="1">
      <c r="A23" s="13" t="s">
        <v>59</v>
      </c>
      <c r="B23" s="11">
        <v>520</v>
      </c>
      <c r="C23" s="11">
        <v>227</v>
      </c>
      <c r="D23" s="11">
        <v>557</v>
      </c>
      <c r="E23" s="11">
        <v>1111</v>
      </c>
      <c r="F23" s="11">
        <v>33</v>
      </c>
      <c r="G23" s="11">
        <v>1494</v>
      </c>
      <c r="H23" s="11">
        <v>701</v>
      </c>
      <c r="I23" s="11">
        <v>2067</v>
      </c>
      <c r="J23" s="11">
        <f>82+772</f>
        <v>854</v>
      </c>
      <c r="K23" s="11">
        <v>650</v>
      </c>
      <c r="L23" s="9">
        <v>1068</v>
      </c>
      <c r="M23" s="9">
        <v>418</v>
      </c>
      <c r="N23" s="11">
        <v>2128</v>
      </c>
      <c r="O23" s="9">
        <v>1441</v>
      </c>
      <c r="P23" s="9">
        <v>1022</v>
      </c>
      <c r="Q23" s="11">
        <v>549</v>
      </c>
      <c r="R23" s="9">
        <f aca="true" t="shared" si="5" ref="R23:R34">SUM(B23:Q23)</f>
        <v>14840</v>
      </c>
    </row>
    <row r="24" spans="1:18" ht="19.5" customHeight="1">
      <c r="A24" s="13" t="s">
        <v>60</v>
      </c>
      <c r="B24" s="9">
        <v>418</v>
      </c>
      <c r="C24" s="9">
        <v>248</v>
      </c>
      <c r="D24" s="9">
        <v>393</v>
      </c>
      <c r="E24" s="9">
        <v>824</v>
      </c>
      <c r="F24" s="9">
        <v>30</v>
      </c>
      <c r="G24" s="9">
        <v>1290</v>
      </c>
      <c r="H24" s="9">
        <v>534</v>
      </c>
      <c r="I24" s="9">
        <v>504</v>
      </c>
      <c r="J24" s="9">
        <f>63+597</f>
        <v>660</v>
      </c>
      <c r="K24" s="9">
        <v>517</v>
      </c>
      <c r="L24" s="9">
        <v>894</v>
      </c>
      <c r="M24" s="9">
        <v>332</v>
      </c>
      <c r="N24" s="9">
        <v>1991</v>
      </c>
      <c r="O24" s="9">
        <v>1062</v>
      </c>
      <c r="P24" s="9">
        <v>795</v>
      </c>
      <c r="Q24" s="9">
        <v>400</v>
      </c>
      <c r="R24" s="9">
        <f t="shared" si="5"/>
        <v>10892</v>
      </c>
    </row>
    <row r="25" spans="1:18" ht="19.5" customHeight="1">
      <c r="A25" s="13" t="s">
        <v>61</v>
      </c>
      <c r="B25" s="9">
        <v>958</v>
      </c>
      <c r="C25" s="9">
        <v>349</v>
      </c>
      <c r="D25" s="9">
        <v>1227</v>
      </c>
      <c r="E25" s="9">
        <v>2240</v>
      </c>
      <c r="F25" s="9">
        <v>327</v>
      </c>
      <c r="G25" s="9">
        <v>1456</v>
      </c>
      <c r="H25" s="9">
        <v>1568</v>
      </c>
      <c r="I25" s="9">
        <v>947</v>
      </c>
      <c r="J25" s="9">
        <f>339+1606</f>
        <v>1945</v>
      </c>
      <c r="K25" s="9">
        <v>1466</v>
      </c>
      <c r="L25" s="9">
        <v>1768</v>
      </c>
      <c r="M25" s="9">
        <v>808</v>
      </c>
      <c r="N25" s="9">
        <v>6341</v>
      </c>
      <c r="O25" s="9">
        <v>3101</v>
      </c>
      <c r="P25" s="9">
        <v>1629</v>
      </c>
      <c r="Q25" s="9">
        <v>1129</v>
      </c>
      <c r="R25" s="9">
        <f t="shared" si="5"/>
        <v>27259</v>
      </c>
    </row>
    <row r="26" spans="1:18" ht="19.5" customHeight="1">
      <c r="A26" s="13" t="s">
        <v>62</v>
      </c>
      <c r="B26" s="9">
        <v>463</v>
      </c>
      <c r="C26" s="9">
        <v>163</v>
      </c>
      <c r="D26" s="9">
        <v>778</v>
      </c>
      <c r="E26" s="9">
        <v>1426</v>
      </c>
      <c r="F26" s="9">
        <v>186</v>
      </c>
      <c r="G26" s="9">
        <v>850</v>
      </c>
      <c r="H26" s="9">
        <v>926</v>
      </c>
      <c r="I26" s="9">
        <v>484</v>
      </c>
      <c r="J26" s="9">
        <v>1183</v>
      </c>
      <c r="K26" s="9">
        <v>827</v>
      </c>
      <c r="L26" s="9">
        <v>990</v>
      </c>
      <c r="M26" s="9">
        <v>497</v>
      </c>
      <c r="N26" s="9">
        <v>4029</v>
      </c>
      <c r="O26" s="9">
        <v>1917</v>
      </c>
      <c r="P26" s="9">
        <v>942</v>
      </c>
      <c r="Q26" s="9">
        <v>726</v>
      </c>
      <c r="R26" s="9">
        <f t="shared" si="5"/>
        <v>16387</v>
      </c>
    </row>
    <row r="27" spans="1:18" ht="19.5" customHeight="1">
      <c r="A27" s="13" t="s">
        <v>63</v>
      </c>
      <c r="B27" s="9">
        <v>634</v>
      </c>
      <c r="C27" s="9">
        <v>213</v>
      </c>
      <c r="D27" s="9">
        <v>1145</v>
      </c>
      <c r="E27" s="9">
        <v>1892</v>
      </c>
      <c r="F27" s="9">
        <v>194</v>
      </c>
      <c r="G27" s="9">
        <v>1170</v>
      </c>
      <c r="H27" s="9">
        <v>1186</v>
      </c>
      <c r="I27" s="9">
        <v>610</v>
      </c>
      <c r="J27" s="9">
        <f>251+1246</f>
        <v>1497</v>
      </c>
      <c r="K27" s="9">
        <v>-8972</v>
      </c>
      <c r="L27" s="9">
        <v>1427</v>
      </c>
      <c r="M27" s="9">
        <v>657</v>
      </c>
      <c r="N27" s="9">
        <v>4986</v>
      </c>
      <c r="O27" s="9">
        <v>2502</v>
      </c>
      <c r="P27" s="9">
        <v>1290</v>
      </c>
      <c r="Q27" s="9">
        <v>950</v>
      </c>
      <c r="R27" s="9">
        <f t="shared" si="5"/>
        <v>11381</v>
      </c>
    </row>
    <row r="28" spans="1:18" ht="19.5" customHeight="1">
      <c r="A28" s="13" t="s">
        <v>64</v>
      </c>
      <c r="B28" s="9">
        <v>570</v>
      </c>
      <c r="C28" s="9">
        <v>204</v>
      </c>
      <c r="D28" s="9">
        <v>819</v>
      </c>
      <c r="E28" s="9">
        <v>1663</v>
      </c>
      <c r="F28" s="9">
        <v>114</v>
      </c>
      <c r="G28" s="9">
        <v>1129</v>
      </c>
      <c r="H28" s="9">
        <v>1056</v>
      </c>
      <c r="I28" s="9">
        <v>662</v>
      </c>
      <c r="J28" s="9">
        <f>234+1172</f>
        <v>1406</v>
      </c>
      <c r="K28" s="9">
        <v>784</v>
      </c>
      <c r="L28" s="9">
        <v>1427</v>
      </c>
      <c r="M28" s="9">
        <v>638</v>
      </c>
      <c r="N28" s="9">
        <v>4248</v>
      </c>
      <c r="O28" s="9">
        <v>2271</v>
      </c>
      <c r="P28" s="9">
        <v>1265</v>
      </c>
      <c r="Q28" s="9">
        <v>844</v>
      </c>
      <c r="R28" s="9">
        <f t="shared" si="5"/>
        <v>19100</v>
      </c>
    </row>
    <row r="29" spans="1:18" ht="19.5" customHeight="1">
      <c r="A29" s="13" t="s">
        <v>65</v>
      </c>
      <c r="B29" s="9">
        <v>0</v>
      </c>
      <c r="C29" s="9">
        <v>176</v>
      </c>
      <c r="D29" s="9">
        <v>60</v>
      </c>
      <c r="E29" s="9">
        <v>68</v>
      </c>
      <c r="F29" s="9">
        <v>87</v>
      </c>
      <c r="G29" s="9">
        <v>1111</v>
      </c>
      <c r="H29" s="9">
        <v>671</v>
      </c>
      <c r="I29" s="9">
        <v>626</v>
      </c>
      <c r="J29" s="9">
        <f>289+690</f>
        <v>979</v>
      </c>
      <c r="K29" s="9">
        <v>238</v>
      </c>
      <c r="L29" s="9">
        <v>1056</v>
      </c>
      <c r="M29" s="9">
        <v>139</v>
      </c>
      <c r="N29" s="9">
        <v>991</v>
      </c>
      <c r="O29" s="9">
        <v>1529</v>
      </c>
      <c r="P29" s="9">
        <v>1124</v>
      </c>
      <c r="Q29" s="9">
        <v>458</v>
      </c>
      <c r="R29" s="9">
        <f t="shared" si="5"/>
        <v>9313</v>
      </c>
    </row>
    <row r="30" spans="1:18" ht="19.5" customHeight="1">
      <c r="A30" s="13" t="s">
        <v>66</v>
      </c>
      <c r="B30" s="9">
        <v>0</v>
      </c>
      <c r="C30" s="9">
        <v>175</v>
      </c>
      <c r="D30" s="9">
        <v>59</v>
      </c>
      <c r="E30" s="9">
        <v>67</v>
      </c>
      <c r="F30" s="9">
        <v>86</v>
      </c>
      <c r="G30" s="9">
        <v>1110</v>
      </c>
      <c r="H30" s="9">
        <v>670</v>
      </c>
      <c r="I30" s="9">
        <v>625</v>
      </c>
      <c r="J30" s="9">
        <f>288+690</f>
        <v>978</v>
      </c>
      <c r="K30" s="9">
        <v>237</v>
      </c>
      <c r="L30" s="9">
        <v>1055</v>
      </c>
      <c r="M30" s="9">
        <v>138</v>
      </c>
      <c r="N30" s="9">
        <v>991</v>
      </c>
      <c r="O30" s="9">
        <v>1529</v>
      </c>
      <c r="P30" s="9">
        <v>1123</v>
      </c>
      <c r="Q30" s="9">
        <v>457</v>
      </c>
      <c r="R30" s="9">
        <f t="shared" si="5"/>
        <v>9300</v>
      </c>
    </row>
    <row r="31" spans="1:18" ht="19.5" customHeight="1">
      <c r="A31" s="13" t="s">
        <v>67</v>
      </c>
      <c r="B31" s="9">
        <v>0</v>
      </c>
      <c r="C31" s="9">
        <v>208</v>
      </c>
      <c r="D31" s="9">
        <v>0</v>
      </c>
      <c r="E31" s="9">
        <v>1612</v>
      </c>
      <c r="F31" s="9">
        <v>192</v>
      </c>
      <c r="G31" s="9">
        <v>1255</v>
      </c>
      <c r="H31" s="9">
        <v>1039</v>
      </c>
      <c r="I31" s="9">
        <v>653</v>
      </c>
      <c r="J31" s="9">
        <f>1027+502</f>
        <v>1529</v>
      </c>
      <c r="K31" s="9">
        <v>583</v>
      </c>
      <c r="L31" s="9">
        <v>1364</v>
      </c>
      <c r="M31" s="9">
        <v>461</v>
      </c>
      <c r="N31" s="9">
        <v>3594</v>
      </c>
      <c r="O31" s="9">
        <v>2103</v>
      </c>
      <c r="P31" s="9">
        <v>1252</v>
      </c>
      <c r="Q31" s="9">
        <v>833</v>
      </c>
      <c r="R31" s="9">
        <f t="shared" si="5"/>
        <v>16678</v>
      </c>
    </row>
    <row r="32" spans="1:18" ht="19.5" customHeight="1">
      <c r="A32" s="13" t="s">
        <v>80</v>
      </c>
      <c r="B32" s="9">
        <v>54</v>
      </c>
      <c r="C32" s="9">
        <v>194</v>
      </c>
      <c r="D32" s="9">
        <v>0</v>
      </c>
      <c r="E32" s="9">
        <v>1532</v>
      </c>
      <c r="F32" s="9">
        <v>286</v>
      </c>
      <c r="G32" s="9">
        <v>1094</v>
      </c>
      <c r="H32" s="9">
        <v>1030</v>
      </c>
      <c r="I32" s="9">
        <v>649</v>
      </c>
      <c r="J32" s="9">
        <f>939+490</f>
        <v>1429</v>
      </c>
      <c r="K32" s="9">
        <v>541</v>
      </c>
      <c r="L32" s="9">
        <v>1290</v>
      </c>
      <c r="M32" s="9">
        <v>440</v>
      </c>
      <c r="N32" s="9">
        <v>3708</v>
      </c>
      <c r="O32" s="9">
        <v>2097</v>
      </c>
      <c r="P32" s="9">
        <v>1216</v>
      </c>
      <c r="Q32" s="9">
        <v>857</v>
      </c>
      <c r="R32" s="9">
        <f t="shared" si="5"/>
        <v>16417</v>
      </c>
    </row>
    <row r="33" spans="1:18" ht="19.5" customHeight="1">
      <c r="A33" s="13" t="s">
        <v>81</v>
      </c>
      <c r="B33" s="9">
        <v>37</v>
      </c>
      <c r="C33" s="9">
        <v>215</v>
      </c>
      <c r="D33" s="9">
        <v>524</v>
      </c>
      <c r="E33" s="9">
        <v>1877</v>
      </c>
      <c r="F33" s="9">
        <v>232</v>
      </c>
      <c r="G33" s="9">
        <v>1280</v>
      </c>
      <c r="H33" s="9">
        <v>1250</v>
      </c>
      <c r="I33" s="9">
        <v>847</v>
      </c>
      <c r="J33" s="9">
        <f>1075+617</f>
        <v>1692</v>
      </c>
      <c r="K33" s="9">
        <v>707</v>
      </c>
      <c r="L33" s="9">
        <v>1567</v>
      </c>
      <c r="M33" s="9">
        <v>530</v>
      </c>
      <c r="N33" s="9">
        <v>5250</v>
      </c>
      <c r="O33" s="9">
        <v>2533</v>
      </c>
      <c r="P33" s="9">
        <v>1399</v>
      </c>
      <c r="Q33" s="9">
        <v>985</v>
      </c>
      <c r="R33" s="9">
        <f t="shared" si="5"/>
        <v>20925</v>
      </c>
    </row>
    <row r="34" spans="1:18" ht="19.5" customHeight="1">
      <c r="A34" s="13" t="s">
        <v>82</v>
      </c>
      <c r="B34" s="9">
        <v>980</v>
      </c>
      <c r="C34" s="9">
        <v>203</v>
      </c>
      <c r="D34" s="9">
        <v>882</v>
      </c>
      <c r="E34" s="9">
        <v>1854</v>
      </c>
      <c r="F34" s="9">
        <v>69</v>
      </c>
      <c r="G34" s="9">
        <v>1257</v>
      </c>
      <c r="H34" s="9">
        <v>1159</v>
      </c>
      <c r="I34" s="9">
        <v>850</v>
      </c>
      <c r="J34" s="9">
        <f>997+569</f>
        <v>1566</v>
      </c>
      <c r="K34" s="9">
        <v>728</v>
      </c>
      <c r="L34" s="9">
        <v>1462</v>
      </c>
      <c r="M34" s="9">
        <v>519</v>
      </c>
      <c r="N34" s="9">
        <v>5496</v>
      </c>
      <c r="O34" s="9">
        <v>2602</v>
      </c>
      <c r="P34" s="9">
        <v>1395</v>
      </c>
      <c r="Q34" s="9">
        <v>994</v>
      </c>
      <c r="R34" s="9">
        <f t="shared" si="5"/>
        <v>22016</v>
      </c>
    </row>
    <row r="35" spans="1:18" s="45" customFormat="1" ht="19.5" customHeight="1">
      <c r="A35" s="43" t="s">
        <v>74</v>
      </c>
      <c r="B35" s="44">
        <f aca="true" t="shared" si="6" ref="B35:R35">SUM(B23:B34)</f>
        <v>4634</v>
      </c>
      <c r="C35" s="44">
        <f t="shared" si="6"/>
        <v>2575</v>
      </c>
      <c r="D35" s="44">
        <f t="shared" si="6"/>
        <v>6444</v>
      </c>
      <c r="E35" s="44">
        <f t="shared" si="6"/>
        <v>16166</v>
      </c>
      <c r="F35" s="44">
        <f t="shared" si="6"/>
        <v>1836</v>
      </c>
      <c r="G35" s="44">
        <f t="shared" si="6"/>
        <v>14496</v>
      </c>
      <c r="H35" s="44">
        <f t="shared" si="6"/>
        <v>11790</v>
      </c>
      <c r="I35" s="44">
        <f t="shared" si="6"/>
        <v>9524</v>
      </c>
      <c r="J35" s="44">
        <f t="shared" si="6"/>
        <v>15718</v>
      </c>
      <c r="K35" s="44">
        <f t="shared" si="6"/>
        <v>-1694</v>
      </c>
      <c r="L35" s="44">
        <f t="shared" si="6"/>
        <v>15368</v>
      </c>
      <c r="M35" s="44">
        <f t="shared" si="6"/>
        <v>5577</v>
      </c>
      <c r="N35" s="44">
        <f t="shared" si="6"/>
        <v>43753</v>
      </c>
      <c r="O35" s="44">
        <f t="shared" si="6"/>
        <v>24687</v>
      </c>
      <c r="P35" s="44">
        <f t="shared" si="6"/>
        <v>14452</v>
      </c>
      <c r="Q35" s="44">
        <f t="shared" si="6"/>
        <v>9182</v>
      </c>
      <c r="R35" s="44">
        <f t="shared" si="6"/>
        <v>194508</v>
      </c>
    </row>
    <row r="36" spans="1:18" s="22" customFormat="1" ht="19.5" customHeight="1">
      <c r="A36" s="20" t="s">
        <v>71</v>
      </c>
      <c r="B36" s="21">
        <f>B35/12</f>
        <v>386.1666666666667</v>
      </c>
      <c r="C36" s="21">
        <f aca="true" t="shared" si="7" ref="C36:R36">C35/12</f>
        <v>214.58333333333334</v>
      </c>
      <c r="D36" s="21">
        <f t="shared" si="7"/>
        <v>537</v>
      </c>
      <c r="E36" s="21">
        <f t="shared" si="7"/>
        <v>1347.1666666666667</v>
      </c>
      <c r="F36" s="21">
        <f t="shared" si="7"/>
        <v>153</v>
      </c>
      <c r="G36" s="21">
        <f t="shared" si="7"/>
        <v>1208</v>
      </c>
      <c r="H36" s="21">
        <f t="shared" si="7"/>
        <v>982.5</v>
      </c>
      <c r="I36" s="21">
        <f t="shared" si="7"/>
        <v>793.6666666666666</v>
      </c>
      <c r="J36" s="21">
        <f t="shared" si="7"/>
        <v>1309.8333333333333</v>
      </c>
      <c r="K36" s="21">
        <f t="shared" si="7"/>
        <v>-141.16666666666666</v>
      </c>
      <c r="L36" s="21">
        <f t="shared" si="7"/>
        <v>1280.6666666666667</v>
      </c>
      <c r="M36" s="21">
        <f t="shared" si="7"/>
        <v>464.75</v>
      </c>
      <c r="N36" s="21">
        <f t="shared" si="7"/>
        <v>3646.0833333333335</v>
      </c>
      <c r="O36" s="21">
        <f t="shared" si="7"/>
        <v>2057.25</v>
      </c>
      <c r="P36" s="21">
        <f t="shared" si="7"/>
        <v>1204.3333333333333</v>
      </c>
      <c r="Q36" s="21">
        <f t="shared" si="7"/>
        <v>765.1666666666666</v>
      </c>
      <c r="R36" s="21">
        <f t="shared" si="7"/>
        <v>16209</v>
      </c>
    </row>
    <row r="37" spans="1:18" s="22" customFormat="1" ht="19.5" customHeight="1">
      <c r="A37" s="20" t="s">
        <v>135</v>
      </c>
      <c r="B37" s="21">
        <f>B36/(129+93)</f>
        <v>1.7394894894894897</v>
      </c>
      <c r="C37" s="21">
        <f>C36/42</f>
        <v>5.109126984126984</v>
      </c>
      <c r="D37" s="21">
        <f>D36/194</f>
        <v>2.768041237113402</v>
      </c>
      <c r="E37" s="21">
        <f>E36/296</f>
        <v>4.551238738738739</v>
      </c>
      <c r="F37" s="21">
        <f>F36/359</f>
        <v>0.42618384401114207</v>
      </c>
      <c r="G37" s="21">
        <f>G36/368</f>
        <v>3.282608695652174</v>
      </c>
      <c r="H37" s="21">
        <f>H36/312</f>
        <v>3.1490384615384617</v>
      </c>
      <c r="I37" s="21">
        <f>I36/(99+120+122)</f>
        <v>2.327468230694037</v>
      </c>
      <c r="J37" s="21">
        <f>J36/295</f>
        <v>4.440112994350282</v>
      </c>
      <c r="K37" s="21">
        <f>K36/282</f>
        <v>-0.5005910165484633</v>
      </c>
      <c r="L37" s="21">
        <f>L36/(363+80)</f>
        <v>2.890895410082769</v>
      </c>
      <c r="M37" s="21">
        <f>M36/127</f>
        <v>3.659448818897638</v>
      </c>
      <c r="N37" s="21">
        <f>N36/750</f>
        <v>4.8614444444444445</v>
      </c>
      <c r="O37" s="21">
        <f>O36/(328+160)</f>
        <v>4.215676229508197</v>
      </c>
      <c r="P37" s="21">
        <f>P36/320</f>
        <v>3.7635416666666663</v>
      </c>
      <c r="Q37" s="21">
        <f>Q36/192</f>
        <v>3.9852430555555554</v>
      </c>
      <c r="R37" s="21">
        <f>R36/5031</f>
        <v>3.221824686940966</v>
      </c>
    </row>
    <row r="38" spans="1:18" s="22" customFormat="1" ht="15.75">
      <c r="A38" s="23" t="s">
        <v>142</v>
      </c>
      <c r="B38" s="21">
        <f aca="true" t="shared" si="8" ref="B38:R38">B37*12/2.5</f>
        <v>8.34954954954955</v>
      </c>
      <c r="C38" s="21">
        <f t="shared" si="8"/>
        <v>24.523809523809526</v>
      </c>
      <c r="D38" s="21">
        <f t="shared" si="8"/>
        <v>13.28659793814433</v>
      </c>
      <c r="E38" s="21">
        <f t="shared" si="8"/>
        <v>21.84594594594595</v>
      </c>
      <c r="F38" s="21">
        <f t="shared" si="8"/>
        <v>2.045682451253482</v>
      </c>
      <c r="G38" s="21">
        <f t="shared" si="8"/>
        <v>15.756521739130434</v>
      </c>
      <c r="H38" s="21">
        <f t="shared" si="8"/>
        <v>15.115384615384617</v>
      </c>
      <c r="I38" s="21">
        <f t="shared" si="8"/>
        <v>11.171847507331377</v>
      </c>
      <c r="J38" s="21">
        <f t="shared" si="8"/>
        <v>21.312542372881353</v>
      </c>
      <c r="K38" s="21">
        <f t="shared" si="8"/>
        <v>-2.402836879432624</v>
      </c>
      <c r="L38" s="21">
        <f t="shared" si="8"/>
        <v>13.87629796839729</v>
      </c>
      <c r="M38" s="21">
        <f t="shared" si="8"/>
        <v>17.565354330708665</v>
      </c>
      <c r="N38" s="21">
        <f t="shared" si="8"/>
        <v>23.334933333333332</v>
      </c>
      <c r="O38" s="21">
        <f t="shared" si="8"/>
        <v>20.235245901639342</v>
      </c>
      <c r="P38" s="21">
        <f t="shared" si="8"/>
        <v>18.064999999999998</v>
      </c>
      <c r="Q38" s="21">
        <f t="shared" si="8"/>
        <v>19.129166666666666</v>
      </c>
      <c r="R38" s="21">
        <f t="shared" si="8"/>
        <v>15.464758497316637</v>
      </c>
    </row>
    <row r="39" spans="1:18" ht="19.5" customHeight="1">
      <c r="A39" s="13" t="s">
        <v>83</v>
      </c>
      <c r="B39" s="12">
        <v>550</v>
      </c>
      <c r="C39" s="12">
        <v>185</v>
      </c>
      <c r="D39" s="9">
        <v>668</v>
      </c>
      <c r="E39" s="9">
        <v>1048</v>
      </c>
      <c r="F39" s="9">
        <v>116</v>
      </c>
      <c r="G39" s="9">
        <v>1045</v>
      </c>
      <c r="H39" s="9">
        <v>762</v>
      </c>
      <c r="I39" s="9">
        <v>652</v>
      </c>
      <c r="J39" s="9">
        <f>776+278</f>
        <v>1054</v>
      </c>
      <c r="K39" s="9">
        <f>448</f>
        <v>448</v>
      </c>
      <c r="L39" s="9">
        <v>1181</v>
      </c>
      <c r="M39" s="9">
        <v>412</v>
      </c>
      <c r="N39" s="9">
        <v>3052</v>
      </c>
      <c r="O39" s="9">
        <v>1646</v>
      </c>
      <c r="P39" s="9">
        <v>1235</v>
      </c>
      <c r="Q39" s="9">
        <v>623</v>
      </c>
      <c r="R39" s="9">
        <f aca="true" t="shared" si="9" ref="R39:R50">SUM(B39:Q39)</f>
        <v>14677</v>
      </c>
    </row>
    <row r="40" spans="1:18" ht="19.5" customHeight="1">
      <c r="A40" s="13" t="s">
        <v>84</v>
      </c>
      <c r="B40" s="9">
        <v>553</v>
      </c>
      <c r="C40" s="9">
        <v>186</v>
      </c>
      <c r="D40" s="9">
        <v>669</v>
      </c>
      <c r="E40" s="9">
        <v>1049</v>
      </c>
      <c r="F40" s="9">
        <v>117</v>
      </c>
      <c r="G40" s="9">
        <v>1045</v>
      </c>
      <c r="H40" s="9">
        <v>763</v>
      </c>
      <c r="I40" s="9">
        <v>653</v>
      </c>
      <c r="J40" s="9">
        <f>777+278</f>
        <v>1055</v>
      </c>
      <c r="K40" s="12">
        <v>448</v>
      </c>
      <c r="L40" s="12">
        <v>1182</v>
      </c>
      <c r="M40" s="9">
        <v>412</v>
      </c>
      <c r="N40" s="9">
        <v>3052</v>
      </c>
      <c r="O40" s="9">
        <v>1646</v>
      </c>
      <c r="P40" s="9">
        <v>1236</v>
      </c>
      <c r="Q40" s="9">
        <v>624</v>
      </c>
      <c r="R40" s="9">
        <f t="shared" si="9"/>
        <v>14690</v>
      </c>
    </row>
    <row r="41" spans="1:18" ht="19.5" customHeight="1">
      <c r="A41" s="13" t="s">
        <v>85</v>
      </c>
      <c r="B41" s="9">
        <v>599</v>
      </c>
      <c r="C41" s="9">
        <v>207</v>
      </c>
      <c r="D41" s="9">
        <v>537</v>
      </c>
      <c r="E41" s="9">
        <v>1755</v>
      </c>
      <c r="F41" s="9">
        <v>169</v>
      </c>
      <c r="G41" s="9">
        <v>1145</v>
      </c>
      <c r="H41" s="9">
        <v>1051</v>
      </c>
      <c r="I41" s="9">
        <v>736</v>
      </c>
      <c r="J41" s="9">
        <f>1088+458</f>
        <v>1546</v>
      </c>
      <c r="K41" s="9">
        <f>1342</f>
        <v>1342</v>
      </c>
      <c r="L41" s="9">
        <v>1307</v>
      </c>
      <c r="M41" s="9">
        <v>447</v>
      </c>
      <c r="N41" s="9">
        <v>4348</v>
      </c>
      <c r="O41" s="9">
        <v>2104</v>
      </c>
      <c r="P41" s="9">
        <v>1356</v>
      </c>
      <c r="Q41" s="9">
        <f>9158-8400</f>
        <v>758</v>
      </c>
      <c r="R41" s="9">
        <f t="shared" si="9"/>
        <v>19407</v>
      </c>
    </row>
    <row r="42" spans="1:18" ht="19.5" customHeight="1">
      <c r="A42" s="13" t="s">
        <v>86</v>
      </c>
      <c r="B42" s="9">
        <v>689</v>
      </c>
      <c r="C42" s="9">
        <v>227</v>
      </c>
      <c r="D42" s="9">
        <v>579</v>
      </c>
      <c r="E42" s="9">
        <v>1811</v>
      </c>
      <c r="F42" s="9">
        <v>234</v>
      </c>
      <c r="G42" s="9">
        <v>1299</v>
      </c>
      <c r="H42" s="9">
        <v>1070</v>
      </c>
      <c r="I42" s="9">
        <v>796</v>
      </c>
      <c r="J42" s="9">
        <f>1403+351</f>
        <v>1754</v>
      </c>
      <c r="K42" s="9">
        <v>496</v>
      </c>
      <c r="L42" s="9">
        <v>1390</v>
      </c>
      <c r="M42" s="9">
        <v>493</v>
      </c>
      <c r="N42" s="9">
        <v>4560</v>
      </c>
      <c r="O42" s="9">
        <v>2063</v>
      </c>
      <c r="P42" s="9">
        <v>1446</v>
      </c>
      <c r="Q42" s="9">
        <v>248</v>
      </c>
      <c r="R42" s="9">
        <f t="shared" si="9"/>
        <v>19155</v>
      </c>
    </row>
    <row r="43" spans="1:18" ht="19.5" customHeight="1">
      <c r="A43" s="13" t="s">
        <v>87</v>
      </c>
      <c r="B43" s="9">
        <v>652</v>
      </c>
      <c r="C43" s="9">
        <v>240</v>
      </c>
      <c r="D43" s="9">
        <v>587</v>
      </c>
      <c r="E43" s="9">
        <v>1952</v>
      </c>
      <c r="F43" s="9">
        <v>226</v>
      </c>
      <c r="G43" s="9">
        <v>1274</v>
      </c>
      <c r="H43" s="9">
        <v>1162</v>
      </c>
      <c r="I43" s="9">
        <v>869</v>
      </c>
      <c r="J43" s="9">
        <f>1547+330</f>
        <v>1877</v>
      </c>
      <c r="K43" s="9">
        <v>534</v>
      </c>
      <c r="L43" s="9">
        <v>1471</v>
      </c>
      <c r="M43" s="9">
        <v>508</v>
      </c>
      <c r="N43" s="9">
        <v>4652</v>
      </c>
      <c r="O43" s="9">
        <v>2143</v>
      </c>
      <c r="P43" s="9">
        <v>1451</v>
      </c>
      <c r="Q43" s="9">
        <v>435</v>
      </c>
      <c r="R43" s="9">
        <f t="shared" si="9"/>
        <v>20033</v>
      </c>
    </row>
    <row r="44" spans="1:18" ht="19.5" customHeight="1">
      <c r="A44" s="13" t="s">
        <v>88</v>
      </c>
      <c r="B44" s="9">
        <v>648</v>
      </c>
      <c r="C44" s="9">
        <v>238</v>
      </c>
      <c r="D44" s="9">
        <v>522</v>
      </c>
      <c r="E44" s="9">
        <v>1657</v>
      </c>
      <c r="F44" s="9">
        <v>191</v>
      </c>
      <c r="G44" s="9">
        <v>1195</v>
      </c>
      <c r="H44" s="9">
        <v>997</v>
      </c>
      <c r="I44" s="9">
        <v>799</v>
      </c>
      <c r="J44" s="9">
        <f>1484+238</f>
        <v>1722</v>
      </c>
      <c r="K44" s="9">
        <v>358</v>
      </c>
      <c r="L44" s="9">
        <v>1429</v>
      </c>
      <c r="M44" s="9">
        <v>463</v>
      </c>
      <c r="N44" s="9">
        <v>3923</v>
      </c>
      <c r="O44" s="9">
        <v>1883</v>
      </c>
      <c r="P44" s="9">
        <v>1381</v>
      </c>
      <c r="Q44" s="9">
        <v>749</v>
      </c>
      <c r="R44" s="9">
        <f t="shared" si="9"/>
        <v>18155</v>
      </c>
    </row>
    <row r="45" spans="1:18" ht="19.5" customHeight="1">
      <c r="A45" s="13" t="s">
        <v>89</v>
      </c>
      <c r="B45" s="9">
        <v>629</v>
      </c>
      <c r="C45" s="9">
        <v>191</v>
      </c>
      <c r="D45" s="9">
        <v>280</v>
      </c>
      <c r="E45" s="9">
        <v>385</v>
      </c>
      <c r="F45" s="9">
        <v>199</v>
      </c>
      <c r="G45" s="9">
        <v>946</v>
      </c>
      <c r="H45" s="9">
        <v>675</v>
      </c>
      <c r="I45" s="9">
        <v>646</v>
      </c>
      <c r="J45" s="9">
        <f>1190+172</f>
        <v>1362</v>
      </c>
      <c r="K45" s="9">
        <f>111</f>
        <v>111</v>
      </c>
      <c r="L45" s="9">
        <f>1068</f>
        <v>1068</v>
      </c>
      <c r="M45" s="9">
        <f>383</f>
        <v>383</v>
      </c>
      <c r="N45" s="9">
        <v>1770</v>
      </c>
      <c r="O45" s="9">
        <v>650</v>
      </c>
      <c r="P45" s="9">
        <v>1034</v>
      </c>
      <c r="Q45" s="9">
        <v>590</v>
      </c>
      <c r="R45" s="9">
        <f t="shared" si="9"/>
        <v>10919</v>
      </c>
    </row>
    <row r="46" spans="1:18" ht="19.5" customHeight="1">
      <c r="A46" s="13" t="s">
        <v>90</v>
      </c>
      <c r="B46" s="9">
        <v>698</v>
      </c>
      <c r="C46" s="9">
        <v>224</v>
      </c>
      <c r="D46" s="9">
        <v>287</v>
      </c>
      <c r="E46" s="9">
        <v>49</v>
      </c>
      <c r="F46" s="9">
        <v>137</v>
      </c>
      <c r="G46" s="9">
        <f>100</f>
        <v>100</v>
      </c>
      <c r="H46" s="9">
        <f>699</f>
        <v>699</v>
      </c>
      <c r="I46" s="9">
        <v>696</v>
      </c>
      <c r="J46" s="9">
        <f>1363+231</f>
        <v>1594</v>
      </c>
      <c r="K46" s="9">
        <v>38</v>
      </c>
      <c r="L46" s="9">
        <v>1261</v>
      </c>
      <c r="M46" s="9">
        <v>409</v>
      </c>
      <c r="N46" s="9">
        <v>1431</v>
      </c>
      <c r="O46" s="9">
        <v>807</v>
      </c>
      <c r="P46" s="9">
        <v>1238</v>
      </c>
      <c r="Q46" s="9">
        <v>683</v>
      </c>
      <c r="R46" s="9">
        <f t="shared" si="9"/>
        <v>10351</v>
      </c>
    </row>
    <row r="47" spans="1:18" ht="19.5" customHeight="1">
      <c r="A47" s="13" t="s">
        <v>91</v>
      </c>
      <c r="B47" s="9">
        <v>606</v>
      </c>
      <c r="C47" s="9">
        <v>226</v>
      </c>
      <c r="D47" s="9">
        <v>325</v>
      </c>
      <c r="E47" s="9">
        <v>1021</v>
      </c>
      <c r="F47" s="9">
        <v>4377</v>
      </c>
      <c r="G47" s="9">
        <v>2097</v>
      </c>
      <c r="H47" s="9">
        <v>1042</v>
      </c>
      <c r="I47" s="9">
        <v>626</v>
      </c>
      <c r="J47" s="9">
        <f>1360+423</f>
        <v>1783</v>
      </c>
      <c r="K47" s="9">
        <v>268</v>
      </c>
      <c r="L47" s="9">
        <v>1384</v>
      </c>
      <c r="M47" s="9">
        <v>400</v>
      </c>
      <c r="N47" s="9">
        <v>3464</v>
      </c>
      <c r="O47" s="9">
        <v>1725</v>
      </c>
      <c r="P47" s="9">
        <v>1413</v>
      </c>
      <c r="Q47" s="9">
        <v>726</v>
      </c>
      <c r="R47" s="9">
        <f t="shared" si="9"/>
        <v>21483</v>
      </c>
    </row>
    <row r="48" spans="1:18" ht="19.5" customHeight="1">
      <c r="A48" s="13" t="s">
        <v>92</v>
      </c>
      <c r="B48" s="9">
        <v>664</v>
      </c>
      <c r="C48" s="9">
        <v>258</v>
      </c>
      <c r="D48" s="9">
        <v>419</v>
      </c>
      <c r="E48" s="9">
        <v>2631</v>
      </c>
      <c r="F48" s="9">
        <v>2824</v>
      </c>
      <c r="G48" s="9">
        <v>1216</v>
      </c>
      <c r="H48" s="9">
        <v>1356</v>
      </c>
      <c r="I48" s="9">
        <v>879</v>
      </c>
      <c r="J48" s="9">
        <f>1634+625</f>
        <v>2259</v>
      </c>
      <c r="K48" s="9">
        <v>302</v>
      </c>
      <c r="L48" s="9">
        <v>1675</v>
      </c>
      <c r="M48" s="9">
        <v>480</v>
      </c>
      <c r="N48" s="9">
        <v>4804</v>
      </c>
      <c r="O48" s="9">
        <v>2276</v>
      </c>
      <c r="P48" s="9">
        <v>1619</v>
      </c>
      <c r="Q48" s="9">
        <v>871</v>
      </c>
      <c r="R48" s="9">
        <f t="shared" si="9"/>
        <v>24533</v>
      </c>
    </row>
    <row r="49" spans="1:18" ht="19.5" customHeight="1">
      <c r="A49" s="13" t="s">
        <v>93</v>
      </c>
      <c r="B49" s="9">
        <v>620</v>
      </c>
      <c r="C49" s="9">
        <v>262</v>
      </c>
      <c r="D49" s="9">
        <v>386</v>
      </c>
      <c r="E49" s="9">
        <v>1712</v>
      </c>
      <c r="F49" s="9">
        <v>724</v>
      </c>
      <c r="G49" s="9">
        <v>1369</v>
      </c>
      <c r="H49" s="9">
        <v>1275</v>
      </c>
      <c r="I49" s="9">
        <v>811</v>
      </c>
      <c r="J49" s="9">
        <f>274+1359</f>
        <v>1633</v>
      </c>
      <c r="K49" s="9">
        <v>230</v>
      </c>
      <c r="L49" s="9">
        <v>1694</v>
      </c>
      <c r="M49" s="9">
        <v>418</v>
      </c>
      <c r="N49" s="9">
        <v>4868</v>
      </c>
      <c r="O49" s="9">
        <v>2503</v>
      </c>
      <c r="P49" s="9">
        <v>1542</v>
      </c>
      <c r="Q49" s="9">
        <v>804</v>
      </c>
      <c r="R49" s="9">
        <f t="shared" si="9"/>
        <v>20851</v>
      </c>
    </row>
    <row r="50" spans="1:18" ht="19.5" customHeight="1">
      <c r="A50" s="13" t="s">
        <v>94</v>
      </c>
      <c r="B50" s="9">
        <v>647</v>
      </c>
      <c r="C50" s="9">
        <v>228</v>
      </c>
      <c r="D50" s="9">
        <v>406</v>
      </c>
      <c r="E50" s="9">
        <v>1713</v>
      </c>
      <c r="F50" s="9">
        <v>816</v>
      </c>
      <c r="G50" s="9">
        <v>1349</v>
      </c>
      <c r="H50" s="9">
        <v>1262</v>
      </c>
      <c r="I50" s="9">
        <v>911</v>
      </c>
      <c r="J50" s="9">
        <f>256+1456</f>
        <v>1712</v>
      </c>
      <c r="K50" s="9">
        <v>227</v>
      </c>
      <c r="L50" s="9">
        <v>1503</v>
      </c>
      <c r="M50" s="9">
        <v>428</v>
      </c>
      <c r="N50" s="9">
        <v>5053</v>
      </c>
      <c r="O50" s="9">
        <v>2555</v>
      </c>
      <c r="P50" s="9">
        <v>1476</v>
      </c>
      <c r="Q50" s="9">
        <v>818</v>
      </c>
      <c r="R50" s="9">
        <f t="shared" si="9"/>
        <v>21104</v>
      </c>
    </row>
    <row r="51" spans="1:18" s="29" customFormat="1" ht="19.5" customHeight="1">
      <c r="A51" s="28" t="s">
        <v>74</v>
      </c>
      <c r="B51" s="44">
        <f aca="true" t="shared" si="10" ref="B51:R51">SUM(B39:B50)</f>
        <v>7555</v>
      </c>
      <c r="C51" s="44">
        <f t="shared" si="10"/>
        <v>2672</v>
      </c>
      <c r="D51" s="44">
        <f t="shared" si="10"/>
        <v>5665</v>
      </c>
      <c r="E51" s="44">
        <f t="shared" si="10"/>
        <v>16783</v>
      </c>
      <c r="F51" s="44">
        <f t="shared" si="10"/>
        <v>10130</v>
      </c>
      <c r="G51" s="44">
        <f t="shared" si="10"/>
        <v>14080</v>
      </c>
      <c r="H51" s="44">
        <f t="shared" si="10"/>
        <v>12114</v>
      </c>
      <c r="I51" s="44">
        <f t="shared" si="10"/>
        <v>9074</v>
      </c>
      <c r="J51" s="44">
        <f t="shared" si="10"/>
        <v>19351</v>
      </c>
      <c r="K51" s="44">
        <f t="shared" si="10"/>
        <v>4802</v>
      </c>
      <c r="L51" s="44">
        <f t="shared" si="10"/>
        <v>16545</v>
      </c>
      <c r="M51" s="44">
        <f t="shared" si="10"/>
        <v>5253</v>
      </c>
      <c r="N51" s="44">
        <f t="shared" si="10"/>
        <v>44977</v>
      </c>
      <c r="O51" s="44">
        <f t="shared" si="10"/>
        <v>22001</v>
      </c>
      <c r="P51" s="44">
        <f t="shared" si="10"/>
        <v>16427</v>
      </c>
      <c r="Q51" s="44">
        <f t="shared" si="10"/>
        <v>7929</v>
      </c>
      <c r="R51" s="44">
        <f t="shared" si="10"/>
        <v>215358</v>
      </c>
    </row>
    <row r="52" spans="1:18" s="22" customFormat="1" ht="19.5" customHeight="1">
      <c r="A52" s="20" t="s">
        <v>71</v>
      </c>
      <c r="B52" s="21">
        <f aca="true" t="shared" si="11" ref="B52:Q52">B51/12</f>
        <v>629.5833333333334</v>
      </c>
      <c r="C52" s="21">
        <f t="shared" si="11"/>
        <v>222.66666666666666</v>
      </c>
      <c r="D52" s="21">
        <f t="shared" si="11"/>
        <v>472.0833333333333</v>
      </c>
      <c r="E52" s="21">
        <f t="shared" si="11"/>
        <v>1398.5833333333333</v>
      </c>
      <c r="F52" s="21">
        <f t="shared" si="11"/>
        <v>844.1666666666666</v>
      </c>
      <c r="G52" s="21">
        <f t="shared" si="11"/>
        <v>1173.3333333333333</v>
      </c>
      <c r="H52" s="21">
        <f t="shared" si="11"/>
        <v>1009.5</v>
      </c>
      <c r="I52" s="21">
        <f t="shared" si="11"/>
        <v>756.1666666666666</v>
      </c>
      <c r="J52" s="21">
        <f t="shared" si="11"/>
        <v>1612.5833333333333</v>
      </c>
      <c r="K52" s="21">
        <f t="shared" si="11"/>
        <v>400.1666666666667</v>
      </c>
      <c r="L52" s="21">
        <f t="shared" si="11"/>
        <v>1378.75</v>
      </c>
      <c r="M52" s="21">
        <f t="shared" si="11"/>
        <v>437.75</v>
      </c>
      <c r="N52" s="21">
        <f t="shared" si="11"/>
        <v>3748.0833333333335</v>
      </c>
      <c r="O52" s="21">
        <f t="shared" si="11"/>
        <v>1833.4166666666667</v>
      </c>
      <c r="P52" s="21">
        <f t="shared" si="11"/>
        <v>1368.9166666666667</v>
      </c>
      <c r="Q52" s="21">
        <f t="shared" si="11"/>
        <v>660.75</v>
      </c>
      <c r="R52" s="21">
        <f>R51/12</f>
        <v>17946.5</v>
      </c>
    </row>
    <row r="53" spans="1:18" s="22" customFormat="1" ht="19.5" customHeight="1">
      <c r="A53" s="20" t="s">
        <v>135</v>
      </c>
      <c r="B53" s="21">
        <f>B52/(129+93)</f>
        <v>2.835960960960961</v>
      </c>
      <c r="C53" s="21">
        <f>C52/42</f>
        <v>5.301587301587301</v>
      </c>
      <c r="D53" s="21">
        <f>D52/194</f>
        <v>2.433419243986254</v>
      </c>
      <c r="E53" s="21">
        <f>E52/296</f>
        <v>4.724943693693693</v>
      </c>
      <c r="F53" s="21">
        <f>F52/359</f>
        <v>2.351439182915506</v>
      </c>
      <c r="G53" s="21">
        <f>G52/368</f>
        <v>3.1884057971014492</v>
      </c>
      <c r="H53" s="21">
        <f>H52/312</f>
        <v>3.235576923076923</v>
      </c>
      <c r="I53" s="21">
        <f>I52/(99+120+122)</f>
        <v>2.2174975562072334</v>
      </c>
      <c r="J53" s="21">
        <f>J52/295</f>
        <v>5.466384180790961</v>
      </c>
      <c r="K53" s="21">
        <f>K52/282</f>
        <v>1.41903073286052</v>
      </c>
      <c r="L53" s="21">
        <f>L52/(363+80)</f>
        <v>3.1123024830699775</v>
      </c>
      <c r="M53" s="21">
        <f>M52/127</f>
        <v>3.4468503937007875</v>
      </c>
      <c r="N53" s="21">
        <f>N52/750</f>
        <v>4.997444444444445</v>
      </c>
      <c r="O53" s="21">
        <f>O52/(328+160)</f>
        <v>3.757001366120219</v>
      </c>
      <c r="P53" s="21">
        <f>P52/320</f>
        <v>4.277864583333334</v>
      </c>
      <c r="Q53" s="21">
        <f>Q52/192</f>
        <v>3.44140625</v>
      </c>
      <c r="R53" s="21">
        <f>R52/5031</f>
        <v>3.5671834625322996</v>
      </c>
    </row>
    <row r="54" spans="1:18" s="22" customFormat="1" ht="19.5" customHeight="1">
      <c r="A54" s="23" t="s">
        <v>142</v>
      </c>
      <c r="B54" s="21">
        <f aca="true" t="shared" si="12" ref="B54:R54">B53*12/2.5</f>
        <v>13.612612612612613</v>
      </c>
      <c r="C54" s="21">
        <f t="shared" si="12"/>
        <v>25.44761904761905</v>
      </c>
      <c r="D54" s="21">
        <f t="shared" si="12"/>
        <v>11.68041237113402</v>
      </c>
      <c r="E54" s="21">
        <f t="shared" si="12"/>
        <v>22.67972972972973</v>
      </c>
      <c r="F54" s="21">
        <f t="shared" si="12"/>
        <v>11.286908077994429</v>
      </c>
      <c r="G54" s="21">
        <f t="shared" si="12"/>
        <v>15.304347826086957</v>
      </c>
      <c r="H54" s="21">
        <f t="shared" si="12"/>
        <v>15.530769230769229</v>
      </c>
      <c r="I54" s="21">
        <f t="shared" si="12"/>
        <v>10.643988269794722</v>
      </c>
      <c r="J54" s="21">
        <f t="shared" si="12"/>
        <v>26.23864406779661</v>
      </c>
      <c r="K54" s="21">
        <f t="shared" si="12"/>
        <v>6.811347517730496</v>
      </c>
      <c r="L54" s="21">
        <f t="shared" si="12"/>
        <v>14.93905191873589</v>
      </c>
      <c r="M54" s="21">
        <f t="shared" si="12"/>
        <v>16.54488188976378</v>
      </c>
      <c r="N54" s="21">
        <f t="shared" si="12"/>
        <v>23.987733333333335</v>
      </c>
      <c r="O54" s="21">
        <f t="shared" si="12"/>
        <v>18.03360655737705</v>
      </c>
      <c r="P54" s="21">
        <f t="shared" si="12"/>
        <v>20.533750000000005</v>
      </c>
      <c r="Q54" s="21">
        <f t="shared" si="12"/>
        <v>16.51875</v>
      </c>
      <c r="R54" s="21">
        <f t="shared" si="12"/>
        <v>17.122480620155038</v>
      </c>
    </row>
    <row r="55" s="38" customFormat="1" ht="20.25" customHeight="1"/>
    <row r="56" spans="1:4" ht="15.75">
      <c r="A56" s="121" t="s">
        <v>78</v>
      </c>
      <c r="B56" s="121"/>
      <c r="C56" s="121"/>
      <c r="D56" s="121"/>
    </row>
    <row r="57" spans="1:4" ht="15.75">
      <c r="A57" s="37"/>
      <c r="B57" s="37"/>
      <c r="C57" s="37"/>
      <c r="D57" s="37"/>
    </row>
    <row r="58" spans="1:18" ht="19.5" customHeight="1">
      <c r="A58" s="9" t="s">
        <v>18</v>
      </c>
      <c r="B58" s="9" t="s">
        <v>72</v>
      </c>
      <c r="C58" s="9" t="s">
        <v>2</v>
      </c>
      <c r="D58" s="9" t="s">
        <v>3</v>
      </c>
      <c r="E58" s="9" t="s">
        <v>4</v>
      </c>
      <c r="F58" s="9" t="s">
        <v>5</v>
      </c>
      <c r="G58" s="9" t="s">
        <v>6</v>
      </c>
      <c r="H58" s="9" t="s">
        <v>7</v>
      </c>
      <c r="I58" s="9" t="s">
        <v>8</v>
      </c>
      <c r="J58" s="9" t="s">
        <v>9</v>
      </c>
      <c r="K58" s="9" t="s">
        <v>10</v>
      </c>
      <c r="L58" s="9" t="s">
        <v>11</v>
      </c>
      <c r="M58" s="9" t="s">
        <v>12</v>
      </c>
      <c r="N58" s="9" t="s">
        <v>13</v>
      </c>
      <c r="O58" s="9" t="s">
        <v>138</v>
      </c>
      <c r="P58" s="9" t="s">
        <v>15</v>
      </c>
      <c r="Q58" s="9" t="s">
        <v>16</v>
      </c>
      <c r="R58" s="10" t="s">
        <v>134</v>
      </c>
    </row>
    <row r="59" spans="1:18" ht="15.75">
      <c r="A59" s="13" t="s">
        <v>122</v>
      </c>
      <c r="B59" s="12">
        <v>661</v>
      </c>
      <c r="C59" s="12">
        <v>248</v>
      </c>
      <c r="D59" s="9">
        <v>338</v>
      </c>
      <c r="E59" s="9">
        <v>1365</v>
      </c>
      <c r="F59" s="9">
        <v>743</v>
      </c>
      <c r="G59" s="9">
        <v>1318</v>
      </c>
      <c r="H59" s="9">
        <v>1104</v>
      </c>
      <c r="I59" s="9">
        <v>998</v>
      </c>
      <c r="J59" s="9">
        <f>289+1379</f>
        <v>1668</v>
      </c>
      <c r="K59" s="9">
        <v>149</v>
      </c>
      <c r="L59" s="9">
        <v>1824</v>
      </c>
      <c r="M59" s="9">
        <v>405</v>
      </c>
      <c r="N59" s="9">
        <v>3815</v>
      </c>
      <c r="O59" s="9">
        <v>2335</v>
      </c>
      <c r="P59" s="9">
        <v>1447</v>
      </c>
      <c r="Q59" s="9">
        <v>675</v>
      </c>
      <c r="R59" s="9">
        <f aca="true" t="shared" si="13" ref="R59:R70">SUM(B59:Q59)</f>
        <v>19093</v>
      </c>
    </row>
    <row r="60" spans="1:18" ht="15.75">
      <c r="A60" s="13" t="s">
        <v>123</v>
      </c>
      <c r="B60" s="9">
        <v>403</v>
      </c>
      <c r="C60" s="9">
        <v>178</v>
      </c>
      <c r="D60" s="9">
        <v>183</v>
      </c>
      <c r="E60" s="9">
        <v>614</v>
      </c>
      <c r="F60" s="9">
        <v>504</v>
      </c>
      <c r="G60" s="9">
        <v>724</v>
      </c>
      <c r="H60" s="9">
        <v>538</v>
      </c>
      <c r="I60" s="9">
        <v>514</v>
      </c>
      <c r="J60" s="9">
        <f>128+720</f>
        <v>848</v>
      </c>
      <c r="K60" s="12">
        <v>81</v>
      </c>
      <c r="L60" s="12">
        <v>1023</v>
      </c>
      <c r="M60" s="9">
        <v>229</v>
      </c>
      <c r="N60" s="9">
        <v>1917</v>
      </c>
      <c r="O60" s="9">
        <v>904</v>
      </c>
      <c r="P60" s="9">
        <v>1053</v>
      </c>
      <c r="Q60" s="9">
        <v>343</v>
      </c>
      <c r="R60" s="9">
        <f t="shared" si="13"/>
        <v>10056</v>
      </c>
    </row>
    <row r="61" spans="1:18" ht="15.75">
      <c r="A61" s="13" t="s">
        <v>124</v>
      </c>
      <c r="B61" s="9">
        <v>705</v>
      </c>
      <c r="C61" s="9">
        <v>245</v>
      </c>
      <c r="D61" s="9">
        <v>371</v>
      </c>
      <c r="E61" s="9">
        <v>1946</v>
      </c>
      <c r="F61" s="9">
        <v>868</v>
      </c>
      <c r="G61" s="9">
        <v>1341</v>
      </c>
      <c r="H61" s="9">
        <v>1301</v>
      </c>
      <c r="I61" s="9">
        <v>997</v>
      </c>
      <c r="J61" s="9">
        <f>379+1622</f>
        <v>2001</v>
      </c>
      <c r="K61" s="9">
        <v>143</v>
      </c>
      <c r="L61" s="9">
        <v>1842</v>
      </c>
      <c r="M61" s="9">
        <v>534</v>
      </c>
      <c r="N61" s="9">
        <v>5243</v>
      </c>
      <c r="O61" s="9">
        <v>2564</v>
      </c>
      <c r="P61" s="9">
        <v>1794</v>
      </c>
      <c r="Q61" s="9">
        <v>474</v>
      </c>
      <c r="R61" s="9">
        <f t="shared" si="13"/>
        <v>22369</v>
      </c>
    </row>
    <row r="62" spans="1:18" ht="15.75">
      <c r="A62" s="13" t="s">
        <v>125</v>
      </c>
      <c r="B62" s="9">
        <v>786</v>
      </c>
      <c r="C62" s="9">
        <v>256</v>
      </c>
      <c r="D62" s="9">
        <v>363</v>
      </c>
      <c r="E62" s="9">
        <v>1745</v>
      </c>
      <c r="F62" s="9">
        <v>914</v>
      </c>
      <c r="G62" s="9">
        <v>1349</v>
      </c>
      <c r="H62" s="9">
        <v>1199</v>
      </c>
      <c r="I62" s="9">
        <v>842</v>
      </c>
      <c r="J62" s="9">
        <f>287+1564</f>
        <v>1851</v>
      </c>
      <c r="K62" s="9">
        <v>92</v>
      </c>
      <c r="L62" s="9">
        <v>1779</v>
      </c>
      <c r="M62" s="9">
        <v>351</v>
      </c>
      <c r="N62" s="9">
        <v>4105</v>
      </c>
      <c r="O62" s="9">
        <v>2437</v>
      </c>
      <c r="P62" s="9">
        <v>1525</v>
      </c>
      <c r="Q62" s="9">
        <v>191</v>
      </c>
      <c r="R62" s="9">
        <f t="shared" si="13"/>
        <v>19785</v>
      </c>
    </row>
    <row r="63" spans="1:18" ht="15.75">
      <c r="A63" s="13" t="s">
        <v>126</v>
      </c>
      <c r="B63" s="9">
        <v>603</v>
      </c>
      <c r="C63" s="9">
        <v>232</v>
      </c>
      <c r="D63" s="9">
        <v>356</v>
      </c>
      <c r="E63" s="9">
        <v>1647</v>
      </c>
      <c r="F63" s="9">
        <v>826</v>
      </c>
      <c r="G63" s="9">
        <v>1188</v>
      </c>
      <c r="H63" s="9">
        <v>1112</v>
      </c>
      <c r="I63" s="9">
        <v>727</v>
      </c>
      <c r="J63" s="9">
        <f>298+1439</f>
        <v>1737</v>
      </c>
      <c r="K63" s="9">
        <v>49</v>
      </c>
      <c r="L63" s="9">
        <v>1678</v>
      </c>
      <c r="M63" s="9">
        <v>404</v>
      </c>
      <c r="N63" s="9">
        <v>4215</v>
      </c>
      <c r="O63" s="9">
        <v>1246</v>
      </c>
      <c r="P63" s="9">
        <v>1341</v>
      </c>
      <c r="Q63" s="9">
        <v>189</v>
      </c>
      <c r="R63" s="9">
        <f>SUM(B63:Q63)+27</f>
        <v>17577</v>
      </c>
    </row>
    <row r="64" spans="1:18" ht="15.75">
      <c r="A64" s="13" t="s">
        <v>127</v>
      </c>
      <c r="B64" s="9">
        <f>12345-11730</f>
        <v>615</v>
      </c>
      <c r="C64" s="9">
        <f>8095-7834</f>
        <v>261</v>
      </c>
      <c r="D64" s="9">
        <f>9002-8682</f>
        <v>320</v>
      </c>
      <c r="E64" s="9">
        <f>118288-116680</f>
        <v>1608</v>
      </c>
      <c r="F64" s="9">
        <f>16610-15822</f>
        <v>788</v>
      </c>
      <c r="G64" s="9">
        <f>84521-83319</f>
        <v>1202</v>
      </c>
      <c r="H64" s="9">
        <f>39038-37972</f>
        <v>1066</v>
      </c>
      <c r="I64" s="9">
        <f>250415-249666</f>
        <v>749</v>
      </c>
      <c r="J64" s="9">
        <f>9392+4650-9057-3114</f>
        <v>1871</v>
      </c>
      <c r="K64" s="9">
        <f>187-153</f>
        <v>34</v>
      </c>
      <c r="L64" s="9">
        <f>210235-208610</f>
        <v>1625</v>
      </c>
      <c r="M64" s="9">
        <f>8143-7743</f>
        <v>400</v>
      </c>
      <c r="N64" s="9">
        <f>367058-362970</f>
        <v>4088</v>
      </c>
      <c r="O64" s="9">
        <f>74656-74659</f>
        <v>-3</v>
      </c>
      <c r="P64" s="9">
        <f>76510-75221</f>
        <v>1289</v>
      </c>
      <c r="Q64" s="9">
        <f>88681-88476</f>
        <v>205</v>
      </c>
      <c r="R64" s="9">
        <f t="shared" si="13"/>
        <v>16118</v>
      </c>
    </row>
    <row r="65" spans="1:18" ht="15.75">
      <c r="A65" s="13" t="s">
        <v>128</v>
      </c>
      <c r="B65" s="9">
        <f>13020-12345</f>
        <v>675</v>
      </c>
      <c r="C65" s="9">
        <f>8351-8095</f>
        <v>256</v>
      </c>
      <c r="D65" s="9">
        <f>9276-9002</f>
        <v>274</v>
      </c>
      <c r="E65" s="9">
        <f>118545-118288</f>
        <v>257</v>
      </c>
      <c r="F65" s="9">
        <f>17166-16610</f>
        <v>556</v>
      </c>
      <c r="G65" s="9">
        <f>86802-84521</f>
        <v>2281</v>
      </c>
      <c r="H65" s="9">
        <f>39854-39038</f>
        <v>816</v>
      </c>
      <c r="I65" s="9">
        <f>251082-250415</f>
        <v>667</v>
      </c>
      <c r="J65" s="9">
        <f>9654+5798-9392-4650</f>
        <v>1410</v>
      </c>
      <c r="K65" s="9">
        <f>200-187</f>
        <v>13</v>
      </c>
      <c r="L65" s="9">
        <f>211858-210235</f>
        <v>1623</v>
      </c>
      <c r="M65" s="9">
        <f>8477-8143</f>
        <v>334</v>
      </c>
      <c r="N65" s="9">
        <f>369068-367058</f>
        <v>2010</v>
      </c>
      <c r="O65" s="9">
        <f>75980-74656</f>
        <v>1324</v>
      </c>
      <c r="P65" s="9">
        <f>76767-76510</f>
        <v>257</v>
      </c>
      <c r="Q65" s="9">
        <f>88809-88681</f>
        <v>128</v>
      </c>
      <c r="R65" s="9">
        <f t="shared" si="13"/>
        <v>12881</v>
      </c>
    </row>
    <row r="66" spans="1:18" ht="15.75">
      <c r="A66" s="13" t="s">
        <v>129</v>
      </c>
      <c r="B66" s="9">
        <f>13689-13020</f>
        <v>669</v>
      </c>
      <c r="C66" s="9">
        <f>8613-8351</f>
        <v>262</v>
      </c>
      <c r="D66" s="9">
        <f>9576-9276</f>
        <v>300</v>
      </c>
      <c r="E66" s="9">
        <f>118604-118545</f>
        <v>59</v>
      </c>
      <c r="F66" s="9">
        <f>17637-17166</f>
        <v>471</v>
      </c>
      <c r="G66" s="9">
        <f>87129-86802</f>
        <v>327</v>
      </c>
      <c r="H66" s="9">
        <f>40581-39854</f>
        <v>727</v>
      </c>
      <c r="I66" s="9">
        <f>251749-251082</f>
        <v>667</v>
      </c>
      <c r="J66" s="9">
        <f>9895-9654+7018-5798</f>
        <v>1461</v>
      </c>
      <c r="K66" s="9">
        <f>201-200</f>
        <v>1</v>
      </c>
      <c r="L66" s="9">
        <f>213451-211858</f>
        <v>1593</v>
      </c>
      <c r="M66" s="9">
        <f>8822-8477</f>
        <v>345</v>
      </c>
      <c r="N66" s="9">
        <f>370590-369068</f>
        <v>1522</v>
      </c>
      <c r="O66" s="9">
        <f>77427-75980</f>
        <v>1447</v>
      </c>
      <c r="P66" s="9">
        <f>77189-76767</f>
        <v>422</v>
      </c>
      <c r="Q66" s="9">
        <f>88900-88809</f>
        <v>91</v>
      </c>
      <c r="R66" s="9">
        <f t="shared" si="13"/>
        <v>10364</v>
      </c>
    </row>
    <row r="67" spans="1:18" ht="15.75">
      <c r="A67" s="13" t="s">
        <v>130</v>
      </c>
      <c r="B67" s="9">
        <f>14317-13689</f>
        <v>628</v>
      </c>
      <c r="C67" s="9">
        <f>8842-8613</f>
        <v>229</v>
      </c>
      <c r="D67" s="9">
        <f>9919-9576</f>
        <v>343</v>
      </c>
      <c r="E67" s="9">
        <f>120062-118604</f>
        <v>1458</v>
      </c>
      <c r="F67" s="9">
        <f>18412-17637</f>
        <v>775</v>
      </c>
      <c r="G67" s="9">
        <f>88314-87129</f>
        <v>1185</v>
      </c>
      <c r="H67" s="9">
        <f>41658-40581</f>
        <v>1077</v>
      </c>
      <c r="I67" s="9">
        <f>252422-251749</f>
        <v>673</v>
      </c>
      <c r="J67" s="9">
        <f>8257-7018+10206-9895</f>
        <v>1550</v>
      </c>
      <c r="K67" s="9">
        <f>210-201</f>
        <v>9</v>
      </c>
      <c r="L67" s="9">
        <f>214871-213451</f>
        <v>1420</v>
      </c>
      <c r="M67" s="9">
        <f>9212-8822</f>
        <v>390</v>
      </c>
      <c r="N67" s="9">
        <f>374424-370590</f>
        <v>3834</v>
      </c>
      <c r="O67" s="9">
        <f>79349-77427</f>
        <v>1922</v>
      </c>
      <c r="P67" s="9">
        <f>78404-77189</f>
        <v>1215</v>
      </c>
      <c r="Q67" s="9">
        <f>89062-88900</f>
        <v>162</v>
      </c>
      <c r="R67" s="9">
        <f t="shared" si="13"/>
        <v>16870</v>
      </c>
    </row>
    <row r="68" spans="1:18" ht="15.75">
      <c r="A68" s="13" t="s">
        <v>131</v>
      </c>
      <c r="B68" s="9">
        <f>14916-14317</f>
        <v>599</v>
      </c>
      <c r="C68" s="9">
        <f>9110-8842</f>
        <v>268</v>
      </c>
      <c r="D68" s="9">
        <f>10418-9919</f>
        <v>499</v>
      </c>
      <c r="E68" s="9">
        <f>121580-120062</f>
        <v>1518</v>
      </c>
      <c r="F68" s="9">
        <f>19313-18412</f>
        <v>901</v>
      </c>
      <c r="G68" s="9">
        <f>89629-88314</f>
        <v>1315</v>
      </c>
      <c r="H68" s="9">
        <f>42881-41658</f>
        <v>1223</v>
      </c>
      <c r="I68" s="9">
        <f>253152-252422</f>
        <v>730</v>
      </c>
      <c r="J68" s="9">
        <f>(531-206)+(9579-8257)</f>
        <v>1647</v>
      </c>
      <c r="K68" s="9">
        <f>220-210</f>
        <v>10</v>
      </c>
      <c r="L68" s="9">
        <f>216363-214871</f>
        <v>1492</v>
      </c>
      <c r="M68" s="9">
        <f>9609-9212</f>
        <v>397</v>
      </c>
      <c r="N68" s="9">
        <f>379334-374424</f>
        <v>4910</v>
      </c>
      <c r="O68" s="9">
        <f>81602-79349</f>
        <v>2253</v>
      </c>
      <c r="P68" s="9">
        <f>79774-78404</f>
        <v>1370</v>
      </c>
      <c r="Q68" s="9">
        <f>89299-89062</f>
        <v>237</v>
      </c>
      <c r="R68" s="9">
        <f t="shared" si="13"/>
        <v>19369</v>
      </c>
    </row>
    <row r="69" spans="1:18" ht="15.75">
      <c r="A69" s="13" t="s">
        <v>132</v>
      </c>
      <c r="B69" s="9">
        <f>15526-14916</f>
        <v>610</v>
      </c>
      <c r="C69" s="9">
        <f>9367-9110</f>
        <v>257</v>
      </c>
      <c r="D69" s="9">
        <f>10996-10418</f>
        <v>578</v>
      </c>
      <c r="E69" s="9">
        <f>123292-121580</f>
        <v>1712</v>
      </c>
      <c r="F69" s="9">
        <f>20137-19313</f>
        <v>824</v>
      </c>
      <c r="G69" s="9">
        <f>90956-89629</f>
        <v>1327</v>
      </c>
      <c r="H69" s="9">
        <f>44152-42881</f>
        <v>1271</v>
      </c>
      <c r="I69" s="9">
        <f>253883-253152</f>
        <v>731</v>
      </c>
      <c r="J69" s="9">
        <f>(876-531)+(10982-9579)</f>
        <v>1748</v>
      </c>
      <c r="K69" s="9">
        <f>(234-220)</f>
        <v>14</v>
      </c>
      <c r="L69" s="9">
        <f>217796-216363</f>
        <v>1433</v>
      </c>
      <c r="M69" s="9">
        <f>9994-9609</f>
        <v>385</v>
      </c>
      <c r="N69" s="9">
        <f>384110-379334</f>
        <v>4776</v>
      </c>
      <c r="O69" s="9">
        <f>83798-81602</f>
        <v>2196</v>
      </c>
      <c r="P69" s="9">
        <f>81220-79774</f>
        <v>1446</v>
      </c>
      <c r="Q69" s="9">
        <f>89493-89299</f>
        <v>194</v>
      </c>
      <c r="R69" s="9">
        <f t="shared" si="13"/>
        <v>19502</v>
      </c>
    </row>
    <row r="70" spans="1:18" ht="15.75">
      <c r="A70" s="13" t="s">
        <v>133</v>
      </c>
      <c r="B70" s="9">
        <v>694</v>
      </c>
      <c r="C70" s="9">
        <v>271</v>
      </c>
      <c r="D70" s="9">
        <v>646</v>
      </c>
      <c r="E70" s="9">
        <v>1842</v>
      </c>
      <c r="F70" s="9">
        <v>943</v>
      </c>
      <c r="G70" s="9">
        <v>1471</v>
      </c>
      <c r="H70" s="9">
        <v>1452</v>
      </c>
      <c r="I70" s="9">
        <v>834</v>
      </c>
      <c r="J70" s="9">
        <f>359+1450</f>
        <v>1809</v>
      </c>
      <c r="K70" s="9">
        <v>17</v>
      </c>
      <c r="L70" s="9">
        <f>1495</f>
        <v>1495</v>
      </c>
      <c r="M70" s="9">
        <v>427</v>
      </c>
      <c r="N70" s="9">
        <v>5154</v>
      </c>
      <c r="O70" s="9">
        <v>2588</v>
      </c>
      <c r="P70" s="9">
        <v>1597</v>
      </c>
      <c r="Q70" s="9">
        <v>224</v>
      </c>
      <c r="R70" s="9">
        <f t="shared" si="13"/>
        <v>21464</v>
      </c>
    </row>
    <row r="71" spans="1:18" ht="15.75">
      <c r="A71" s="43" t="s">
        <v>74</v>
      </c>
      <c r="B71" s="44">
        <f aca="true" t="shared" si="14" ref="B71:R71">SUM(B59:B70)</f>
        <v>7648</v>
      </c>
      <c r="C71" s="44">
        <f t="shared" si="14"/>
        <v>2963</v>
      </c>
      <c r="D71" s="44">
        <f t="shared" si="14"/>
        <v>4571</v>
      </c>
      <c r="E71" s="44">
        <f t="shared" si="14"/>
        <v>15771</v>
      </c>
      <c r="F71" s="44">
        <f t="shared" si="14"/>
        <v>9113</v>
      </c>
      <c r="G71" s="44">
        <f t="shared" si="14"/>
        <v>15028</v>
      </c>
      <c r="H71" s="44">
        <f t="shared" si="14"/>
        <v>12886</v>
      </c>
      <c r="I71" s="44">
        <f t="shared" si="14"/>
        <v>9129</v>
      </c>
      <c r="J71" s="44">
        <f t="shared" si="14"/>
        <v>19601</v>
      </c>
      <c r="K71" s="44">
        <f t="shared" si="14"/>
        <v>612</v>
      </c>
      <c r="L71" s="44">
        <f t="shared" si="14"/>
        <v>18827</v>
      </c>
      <c r="M71" s="44">
        <f t="shared" si="14"/>
        <v>4601</v>
      </c>
      <c r="N71" s="44">
        <f t="shared" si="14"/>
        <v>45589</v>
      </c>
      <c r="O71" s="44">
        <f t="shared" si="14"/>
        <v>21213</v>
      </c>
      <c r="P71" s="44">
        <f t="shared" si="14"/>
        <v>14756</v>
      </c>
      <c r="Q71" s="44">
        <f t="shared" si="14"/>
        <v>3113</v>
      </c>
      <c r="R71" s="44">
        <f t="shared" si="14"/>
        <v>205448</v>
      </c>
    </row>
    <row r="72" spans="1:18" ht="15.75">
      <c r="A72" s="20" t="s">
        <v>71</v>
      </c>
      <c r="B72" s="21">
        <f aca="true" t="shared" si="15" ref="B72:Q72">B71/12</f>
        <v>637.3333333333334</v>
      </c>
      <c r="C72" s="21">
        <f t="shared" si="15"/>
        <v>246.91666666666666</v>
      </c>
      <c r="D72" s="21">
        <f t="shared" si="15"/>
        <v>380.9166666666667</v>
      </c>
      <c r="E72" s="21">
        <f t="shared" si="15"/>
        <v>1314.25</v>
      </c>
      <c r="F72" s="21">
        <f t="shared" si="15"/>
        <v>759.4166666666666</v>
      </c>
      <c r="G72" s="21">
        <f t="shared" si="15"/>
        <v>1252.3333333333333</v>
      </c>
      <c r="H72" s="21">
        <f t="shared" si="15"/>
        <v>1073.8333333333333</v>
      </c>
      <c r="I72" s="21">
        <f t="shared" si="15"/>
        <v>760.75</v>
      </c>
      <c r="J72" s="21">
        <f t="shared" si="15"/>
        <v>1633.4166666666667</v>
      </c>
      <c r="K72" s="21">
        <f t="shared" si="15"/>
        <v>51</v>
      </c>
      <c r="L72" s="21">
        <f t="shared" si="15"/>
        <v>1568.9166666666667</v>
      </c>
      <c r="M72" s="21">
        <f t="shared" si="15"/>
        <v>383.4166666666667</v>
      </c>
      <c r="N72" s="21">
        <f t="shared" si="15"/>
        <v>3799.0833333333335</v>
      </c>
      <c r="O72" s="21">
        <f t="shared" si="15"/>
        <v>1767.75</v>
      </c>
      <c r="P72" s="21">
        <f t="shared" si="15"/>
        <v>1229.6666666666667</v>
      </c>
      <c r="Q72" s="21">
        <f t="shared" si="15"/>
        <v>259.4166666666667</v>
      </c>
      <c r="R72" s="21">
        <f>R71/12</f>
        <v>17120.666666666668</v>
      </c>
    </row>
    <row r="73" spans="1:18" s="22" customFormat="1" ht="19.5" customHeight="1">
      <c r="A73" s="20" t="s">
        <v>135</v>
      </c>
      <c r="B73" s="21">
        <f>B72/(129+93)</f>
        <v>2.870870870870871</v>
      </c>
      <c r="C73" s="21">
        <f>C72/42</f>
        <v>5.878968253968254</v>
      </c>
      <c r="D73" s="21">
        <f>D72/194</f>
        <v>1.9634879725085912</v>
      </c>
      <c r="E73" s="21">
        <f>E72/296</f>
        <v>4.440033783783784</v>
      </c>
      <c r="F73" s="21">
        <f>F72/359</f>
        <v>2.1153667595171775</v>
      </c>
      <c r="G73" s="21">
        <f>G72/368</f>
        <v>3.4030797101449273</v>
      </c>
      <c r="H73" s="21">
        <f>H72/312</f>
        <v>3.441773504273504</v>
      </c>
      <c r="I73" s="21">
        <f>I72/(99+120+122)</f>
        <v>2.2309384164222874</v>
      </c>
      <c r="J73" s="21">
        <f>J72/295</f>
        <v>5.537005649717514</v>
      </c>
      <c r="K73" s="21">
        <f>K72/282</f>
        <v>0.18085106382978725</v>
      </c>
      <c r="L73" s="21">
        <f>L72/(363+80)</f>
        <v>3.5415726109857038</v>
      </c>
      <c r="M73" s="21">
        <f>M72/127</f>
        <v>3.0190288713910762</v>
      </c>
      <c r="N73" s="21">
        <f>N72/750</f>
        <v>5.065444444444445</v>
      </c>
      <c r="O73" s="21">
        <f>O72/(328+160)</f>
        <v>3.622438524590164</v>
      </c>
      <c r="P73" s="21">
        <f>P72/320</f>
        <v>3.8427083333333334</v>
      </c>
      <c r="Q73" s="21">
        <f>Q72/192</f>
        <v>1.3511284722222223</v>
      </c>
      <c r="R73" s="21">
        <f>R72/5031</f>
        <v>3.4030345193135894</v>
      </c>
    </row>
    <row r="74" spans="1:18" ht="15.75">
      <c r="A74" s="23" t="s">
        <v>142</v>
      </c>
      <c r="B74" s="21">
        <f aca="true" t="shared" si="16" ref="B74:R74">B73*12/2.5</f>
        <v>13.780180180180182</v>
      </c>
      <c r="C74" s="21">
        <f t="shared" si="16"/>
        <v>28.219047619047622</v>
      </c>
      <c r="D74" s="21">
        <f t="shared" si="16"/>
        <v>9.424742268041237</v>
      </c>
      <c r="E74" s="21">
        <f t="shared" si="16"/>
        <v>21.312162162162164</v>
      </c>
      <c r="F74" s="21">
        <f t="shared" si="16"/>
        <v>10.153760445682451</v>
      </c>
      <c r="G74" s="21">
        <f t="shared" si="16"/>
        <v>16.33478260869565</v>
      </c>
      <c r="H74" s="21">
        <f t="shared" si="16"/>
        <v>16.520512820512817</v>
      </c>
      <c r="I74" s="21">
        <f t="shared" si="16"/>
        <v>10.70850439882698</v>
      </c>
      <c r="J74" s="21">
        <f t="shared" si="16"/>
        <v>26.577627118644067</v>
      </c>
      <c r="K74" s="21">
        <f t="shared" si="16"/>
        <v>0.8680851063829789</v>
      </c>
      <c r="L74" s="21">
        <f t="shared" si="16"/>
        <v>16.999548532731378</v>
      </c>
      <c r="M74" s="21">
        <f t="shared" si="16"/>
        <v>14.491338582677168</v>
      </c>
      <c r="N74" s="21">
        <f t="shared" si="16"/>
        <v>24.314133333333338</v>
      </c>
      <c r="O74" s="21">
        <f t="shared" si="16"/>
        <v>17.38770491803279</v>
      </c>
      <c r="P74" s="21">
        <f t="shared" si="16"/>
        <v>18.445</v>
      </c>
      <c r="Q74" s="21">
        <f t="shared" si="16"/>
        <v>6.4854166666666675</v>
      </c>
      <c r="R74" s="21">
        <f t="shared" si="16"/>
        <v>16.33456569270523</v>
      </c>
    </row>
    <row r="75" spans="1:4" ht="15.75">
      <c r="A75" s="121" t="s">
        <v>78</v>
      </c>
      <c r="B75" s="121"/>
      <c r="C75" s="121"/>
      <c r="D75" s="121"/>
    </row>
    <row r="76" spans="1:4" ht="15.75">
      <c r="A76" s="37"/>
      <c r="B76" s="37"/>
      <c r="C76" s="37"/>
      <c r="D76" s="37"/>
    </row>
    <row r="77" spans="1:18" ht="15.75">
      <c r="A77" s="9" t="s">
        <v>18</v>
      </c>
      <c r="B77" s="9" t="s">
        <v>72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9" t="s">
        <v>11</v>
      </c>
      <c r="M77" s="9" t="s">
        <v>12</v>
      </c>
      <c r="N77" s="9" t="s">
        <v>13</v>
      </c>
      <c r="O77" s="9" t="s">
        <v>138</v>
      </c>
      <c r="P77" s="9" t="s">
        <v>15</v>
      </c>
      <c r="Q77" s="9" t="s">
        <v>16</v>
      </c>
      <c r="R77" s="10" t="s">
        <v>134</v>
      </c>
    </row>
    <row r="78" spans="1:18" ht="15.75">
      <c r="A78" s="13" t="s">
        <v>155</v>
      </c>
      <c r="B78" s="12">
        <v>490</v>
      </c>
      <c r="C78" s="12">
        <v>196</v>
      </c>
      <c r="D78" s="9">
        <v>400</v>
      </c>
      <c r="E78" s="9">
        <v>956</v>
      </c>
      <c r="F78" s="9">
        <v>678</v>
      </c>
      <c r="G78" s="9">
        <v>1030</v>
      </c>
      <c r="H78" s="9">
        <v>875</v>
      </c>
      <c r="I78" s="9">
        <v>581</v>
      </c>
      <c r="J78" s="9">
        <f>257+823</f>
        <v>1080</v>
      </c>
      <c r="K78" s="9">
        <v>14</v>
      </c>
      <c r="L78" s="9">
        <f>1164</f>
        <v>1164</v>
      </c>
      <c r="M78" s="9">
        <v>293</v>
      </c>
      <c r="N78" s="9">
        <v>3061</v>
      </c>
      <c r="O78" s="9">
        <v>1481</v>
      </c>
      <c r="P78" s="9">
        <v>1052</v>
      </c>
      <c r="Q78" s="9">
        <v>206</v>
      </c>
      <c r="R78" s="9">
        <f>SUM(B78:Q78)</f>
        <v>13557</v>
      </c>
    </row>
    <row r="79" spans="1:18" ht="15.75">
      <c r="A79" s="13" t="s">
        <v>156</v>
      </c>
      <c r="B79" s="9">
        <v>508</v>
      </c>
      <c r="C79" s="9">
        <v>214</v>
      </c>
      <c r="D79" s="9">
        <v>328</v>
      </c>
      <c r="E79" s="9">
        <v>658</v>
      </c>
      <c r="F79" s="9">
        <v>712</v>
      </c>
      <c r="G79" s="9">
        <v>1093</v>
      </c>
      <c r="H79" s="9">
        <v>640</v>
      </c>
      <c r="I79" s="9">
        <v>562</v>
      </c>
      <c r="J79" s="9">
        <f>194+729</f>
        <v>923</v>
      </c>
      <c r="K79" s="12">
        <v>17</v>
      </c>
      <c r="L79" s="12">
        <v>1444</v>
      </c>
      <c r="M79" s="9">
        <v>284</v>
      </c>
      <c r="N79" s="9">
        <v>2321</v>
      </c>
      <c r="O79" s="9">
        <v>1615</v>
      </c>
      <c r="P79" s="9">
        <v>1150</v>
      </c>
      <c r="Q79" s="9">
        <v>148</v>
      </c>
      <c r="R79" s="9">
        <f>SUM(B79:Q79)</f>
        <v>12617</v>
      </c>
    </row>
    <row r="80" spans="1:18" ht="15.75">
      <c r="A80" s="13" t="s">
        <v>157</v>
      </c>
      <c r="B80" s="9">
        <v>630</v>
      </c>
      <c r="C80" s="9">
        <v>247</v>
      </c>
      <c r="D80" s="9">
        <v>609</v>
      </c>
      <c r="E80" s="9">
        <v>1745</v>
      </c>
      <c r="F80" s="9">
        <v>903</v>
      </c>
      <c r="G80" s="9">
        <v>1356</v>
      </c>
      <c r="H80" s="9">
        <v>1349</v>
      </c>
      <c r="I80" s="9">
        <v>785</v>
      </c>
      <c r="J80" s="9">
        <f>409+852</f>
        <v>1261</v>
      </c>
      <c r="K80" s="9">
        <v>27</v>
      </c>
      <c r="L80" s="9">
        <v>1867</v>
      </c>
      <c r="M80" s="9">
        <v>386</v>
      </c>
      <c r="N80" s="9">
        <v>4941</v>
      </c>
      <c r="O80" s="9">
        <v>2209</v>
      </c>
      <c r="P80" s="9">
        <v>1495</v>
      </c>
      <c r="Q80" s="9">
        <v>200</v>
      </c>
      <c r="R80" s="9">
        <f>SUM(B80:Q80)</f>
        <v>20010</v>
      </c>
    </row>
    <row r="81" spans="1:18" ht="15.75">
      <c r="A81" s="13" t="s">
        <v>158</v>
      </c>
      <c r="B81" s="9">
        <v>620</v>
      </c>
      <c r="C81" s="9">
        <v>247</v>
      </c>
      <c r="D81" s="9">
        <v>608</v>
      </c>
      <c r="E81" s="9">
        <v>1744</v>
      </c>
      <c r="F81" s="9">
        <v>902</v>
      </c>
      <c r="G81" s="9">
        <v>1356</v>
      </c>
      <c r="H81" s="9">
        <v>1350</v>
      </c>
      <c r="I81" s="9">
        <v>785</v>
      </c>
      <c r="J81" s="9">
        <f>409+852</f>
        <v>1261</v>
      </c>
      <c r="K81" s="9">
        <v>28</v>
      </c>
      <c r="L81" s="9">
        <v>1867</v>
      </c>
      <c r="M81" s="9">
        <v>386</v>
      </c>
      <c r="N81" s="9">
        <v>4942</v>
      </c>
      <c r="O81" s="9">
        <v>2210</v>
      </c>
      <c r="P81" s="9">
        <v>1495</v>
      </c>
      <c r="Q81" s="9">
        <v>200</v>
      </c>
      <c r="R81" s="9">
        <f>SUM(B81:Q81)</f>
        <v>20001</v>
      </c>
    </row>
    <row r="82" spans="1:18" ht="15.75">
      <c r="A82" s="13" t="s">
        <v>159</v>
      </c>
      <c r="B82" s="9">
        <f>19109-18468</f>
        <v>641</v>
      </c>
      <c r="C82" s="9">
        <f>769-542</f>
        <v>227</v>
      </c>
      <c r="D82" s="9">
        <f>14140-13587</f>
        <v>553</v>
      </c>
      <c r="E82" s="9">
        <f>131929-130237</f>
        <v>1692</v>
      </c>
      <c r="F82" s="9">
        <f>25110-24275</f>
        <v>835</v>
      </c>
      <c r="G82" s="9">
        <f>98501-97262</f>
        <v>1239</v>
      </c>
      <c r="H82" s="9">
        <f>51010-49818</f>
        <v>1192</v>
      </c>
      <c r="I82" s="9">
        <f>258064-257430</f>
        <v>634</v>
      </c>
      <c r="J82" s="9">
        <f>2865+5717-2504-5688</f>
        <v>390</v>
      </c>
      <c r="K82" s="9">
        <f>362-337</f>
        <v>25</v>
      </c>
      <c r="L82" s="9">
        <f>227758-225633</f>
        <v>2125</v>
      </c>
      <c r="M82" s="9">
        <f>2135-1770</f>
        <v>365</v>
      </c>
      <c r="N82" s="9">
        <f>409361-404529</f>
        <v>4832</v>
      </c>
      <c r="O82" s="9">
        <f>96039-93901</f>
        <v>2138</v>
      </c>
      <c r="P82" s="9">
        <f>89329-88009</f>
        <v>1320</v>
      </c>
      <c r="Q82" s="9">
        <f>90671-90471</f>
        <v>200</v>
      </c>
      <c r="R82" s="9">
        <f>SUM(B82:Q82)</f>
        <v>18408</v>
      </c>
    </row>
    <row r="83" spans="1:18" ht="15.75">
      <c r="A83" s="13" t="s">
        <v>160</v>
      </c>
      <c r="B83" s="9">
        <f>19880-19109</f>
        <v>771</v>
      </c>
      <c r="C83" s="9">
        <f>998-769</f>
        <v>229</v>
      </c>
      <c r="D83" s="9">
        <f>14686-14140</f>
        <v>546</v>
      </c>
      <c r="E83" s="9">
        <f>133336-131929</f>
        <v>1407</v>
      </c>
      <c r="F83" s="9">
        <f>25964-25110</f>
        <v>854</v>
      </c>
      <c r="G83" s="9">
        <f>99765-98501</f>
        <v>1264</v>
      </c>
      <c r="H83" s="9">
        <f>52187-51010</f>
        <v>1177</v>
      </c>
      <c r="I83" s="9">
        <f>258733-258064</f>
        <v>669</v>
      </c>
      <c r="J83" s="9">
        <f>3312+5717-2865-5717</f>
        <v>447</v>
      </c>
      <c r="K83" s="9">
        <f>379-362</f>
        <v>17</v>
      </c>
      <c r="L83" s="9">
        <f>230232-227758</f>
        <v>2474</v>
      </c>
      <c r="M83" s="9">
        <f>2515-2135</f>
        <v>380</v>
      </c>
      <c r="N83" s="9">
        <f>413318-409361</f>
        <v>3957</v>
      </c>
      <c r="O83" s="9">
        <f>98177-96039</f>
        <v>2138</v>
      </c>
      <c r="P83" s="9">
        <f>90711-89329</f>
        <v>1382</v>
      </c>
      <c r="Q83" s="9">
        <f>90871-90671</f>
        <v>200</v>
      </c>
      <c r="R83" s="9">
        <f aca="true" t="shared" si="17" ref="R83:R89">SUM(B83:Q83)</f>
        <v>17912</v>
      </c>
    </row>
    <row r="84" spans="1:18" ht="15.75">
      <c r="A84" s="13" t="s">
        <v>161</v>
      </c>
      <c r="B84" s="9">
        <f>20413-19880</f>
        <v>533</v>
      </c>
      <c r="C84" s="9">
        <f>1097-998</f>
        <v>99</v>
      </c>
      <c r="D84" s="9">
        <f>15008-14686</f>
        <v>322</v>
      </c>
      <c r="E84" s="9">
        <f>133652-133336</f>
        <v>316</v>
      </c>
      <c r="F84" s="9">
        <f>26607-25964</f>
        <v>643</v>
      </c>
      <c r="G84" s="9">
        <f>99998-99765</f>
        <v>233</v>
      </c>
      <c r="H84" s="9">
        <f>52952-52187</f>
        <v>765</v>
      </c>
      <c r="I84" s="9">
        <f>259228-258733</f>
        <v>495</v>
      </c>
      <c r="J84" s="9">
        <f>3610+5717-3312-5717</f>
        <v>298</v>
      </c>
      <c r="K84" s="9">
        <f>382-379</f>
        <v>3</v>
      </c>
      <c r="L84" s="9">
        <f>232367-230232</f>
        <v>2135</v>
      </c>
      <c r="M84" s="9">
        <f>2846-2515</f>
        <v>331</v>
      </c>
      <c r="N84" s="9">
        <f>415303-413318</f>
        <v>1985</v>
      </c>
      <c r="O84" s="9">
        <f>98995-98177</f>
        <v>818</v>
      </c>
      <c r="P84" s="9">
        <f>91822-90711</f>
        <v>1111</v>
      </c>
      <c r="Q84" s="9">
        <f>91081-90871</f>
        <v>210</v>
      </c>
      <c r="R84" s="9">
        <f t="shared" si="17"/>
        <v>10297</v>
      </c>
    </row>
    <row r="85" spans="1:18" ht="15.75">
      <c r="A85" s="13" t="s">
        <v>162</v>
      </c>
      <c r="B85" s="9">
        <v>1185</v>
      </c>
      <c r="C85" s="9">
        <v>612</v>
      </c>
      <c r="D85" s="9">
        <v>826</v>
      </c>
      <c r="E85" s="9">
        <v>2299</v>
      </c>
      <c r="F85" s="9">
        <v>1351</v>
      </c>
      <c r="G85" s="9">
        <v>1807</v>
      </c>
      <c r="H85" s="9">
        <v>1847</v>
      </c>
      <c r="I85" s="9">
        <v>977</v>
      </c>
      <c r="J85" s="9">
        <f>821</f>
        <v>821</v>
      </c>
      <c r="K85" s="9">
        <v>10</v>
      </c>
      <c r="L85" s="9">
        <v>4087</v>
      </c>
      <c r="M85" s="9">
        <v>818</v>
      </c>
      <c r="N85" s="9">
        <v>6368</v>
      </c>
      <c r="O85" s="9">
        <v>2915</v>
      </c>
      <c r="P85" s="9">
        <v>2665</v>
      </c>
      <c r="Q85" s="9">
        <v>200</v>
      </c>
      <c r="R85" s="9">
        <f t="shared" si="17"/>
        <v>28788</v>
      </c>
    </row>
    <row r="86" spans="1:18" ht="15.75">
      <c r="A86" s="13" t="s">
        <v>163</v>
      </c>
      <c r="B86" s="9">
        <f>22145-21598</f>
        <v>547</v>
      </c>
      <c r="C86" s="9">
        <f>1933-1709</f>
        <v>224</v>
      </c>
      <c r="D86" s="9">
        <f>16332-15834</f>
        <v>498</v>
      </c>
      <c r="E86" s="9">
        <f>137979-135951</f>
        <v>2028</v>
      </c>
      <c r="F86" s="9">
        <f>28653-27958</f>
        <v>695</v>
      </c>
      <c r="G86" s="9">
        <f>103042-101805</f>
        <v>1237</v>
      </c>
      <c r="H86" s="9">
        <f>55872-54799</f>
        <v>1073</v>
      </c>
      <c r="I86" s="9">
        <f>260714-260205</f>
        <v>509</v>
      </c>
      <c r="J86" s="9">
        <f>4734-4431</f>
        <v>303</v>
      </c>
      <c r="K86" s="9">
        <f>396-392</f>
        <v>4</v>
      </c>
      <c r="L86" s="9">
        <f>238351-236454</f>
        <v>1897</v>
      </c>
      <c r="M86" s="9">
        <f>4073-3664</f>
        <v>409</v>
      </c>
      <c r="N86" s="9">
        <f>427269-421671</f>
        <v>5598</v>
      </c>
      <c r="O86" s="9">
        <f>104094-101910</f>
        <v>2184</v>
      </c>
      <c r="P86" s="9">
        <f>95831-94487</f>
        <v>1344</v>
      </c>
      <c r="Q86" s="9">
        <f>92011-91281</f>
        <v>730</v>
      </c>
      <c r="R86" s="9">
        <f t="shared" si="17"/>
        <v>19280</v>
      </c>
    </row>
    <row r="87" spans="1:18" ht="15.75">
      <c r="A87" s="13" t="s">
        <v>164</v>
      </c>
      <c r="B87" s="9">
        <f>22782-22145</f>
        <v>637</v>
      </c>
      <c r="C87" s="9">
        <f>2190-1933</f>
        <v>257</v>
      </c>
      <c r="D87" s="9">
        <f>16911-16332</f>
        <v>579</v>
      </c>
      <c r="E87" s="9">
        <f>140420-137979</f>
        <v>2441</v>
      </c>
      <c r="F87" s="9">
        <f>29233-28653</f>
        <v>580</v>
      </c>
      <c r="G87" s="9">
        <f>104457-103042</f>
        <v>1415</v>
      </c>
      <c r="H87" s="9">
        <f>57066-55872</f>
        <v>1194</v>
      </c>
      <c r="I87" s="9">
        <f>261322-260714</f>
        <v>608</v>
      </c>
      <c r="J87" s="9">
        <f>4946-4734</f>
        <v>212</v>
      </c>
      <c r="K87" s="9">
        <f>399-396</f>
        <v>3</v>
      </c>
      <c r="L87" s="9">
        <f>240443-238351</f>
        <v>2092</v>
      </c>
      <c r="M87" s="9">
        <f>4516-4073</f>
        <v>443</v>
      </c>
      <c r="N87" s="9">
        <f>433317-427269</f>
        <v>6048</v>
      </c>
      <c r="O87" s="9">
        <f>106472-104094</f>
        <v>2378</v>
      </c>
      <c r="P87" s="9">
        <f>97374-95831</f>
        <v>1543</v>
      </c>
      <c r="Q87" s="9">
        <f>92798-92011</f>
        <v>787</v>
      </c>
      <c r="R87" s="9">
        <f t="shared" si="17"/>
        <v>21217</v>
      </c>
    </row>
    <row r="88" spans="1:18" ht="15.75">
      <c r="A88" s="13" t="s">
        <v>165</v>
      </c>
      <c r="B88" s="9">
        <f>23440-22782</f>
        <v>658</v>
      </c>
      <c r="C88" s="9">
        <f>2455-2190</f>
        <v>265</v>
      </c>
      <c r="D88" s="9">
        <f>17478-16911</f>
        <v>567</v>
      </c>
      <c r="E88" s="9">
        <f>142987-140420</f>
        <v>2567</v>
      </c>
      <c r="F88" s="9">
        <f>29623-29233</f>
        <v>390</v>
      </c>
      <c r="G88" s="9">
        <f>105869-104457</f>
        <v>1412</v>
      </c>
      <c r="H88" s="9">
        <f>58309-57066</f>
        <v>1243</v>
      </c>
      <c r="I88" s="9">
        <v>643</v>
      </c>
      <c r="J88" s="9">
        <f>5295-4946+62</f>
        <v>411</v>
      </c>
      <c r="K88" s="9">
        <v>54</v>
      </c>
      <c r="L88" s="9">
        <f>242494-240443</f>
        <v>2051</v>
      </c>
      <c r="M88" s="9">
        <f>5001-4516</f>
        <v>485</v>
      </c>
      <c r="N88" s="9">
        <f>437244-433317</f>
        <v>3927</v>
      </c>
      <c r="O88" s="9">
        <f>109068-106472</f>
        <v>2596</v>
      </c>
      <c r="P88" s="9">
        <f>98882-97374</f>
        <v>1508</v>
      </c>
      <c r="Q88" s="9">
        <f>84778-84504</f>
        <v>274</v>
      </c>
      <c r="R88" s="9">
        <f t="shared" si="17"/>
        <v>19051</v>
      </c>
    </row>
    <row r="89" spans="1:18" ht="15.75">
      <c r="A89" s="13" t="s">
        <v>166</v>
      </c>
      <c r="B89" s="9">
        <f>24088-23440</f>
        <v>648</v>
      </c>
      <c r="C89" s="9">
        <f>2715-2455</f>
        <v>260</v>
      </c>
      <c r="D89" s="9">
        <f>17957-17478</f>
        <v>479</v>
      </c>
      <c r="E89" s="9">
        <f>144943-142987</f>
        <v>1956</v>
      </c>
      <c r="F89" s="9">
        <f>30049-29623</f>
        <v>426</v>
      </c>
      <c r="G89" s="9">
        <f>107265-105869</f>
        <v>1396</v>
      </c>
      <c r="H89" s="9">
        <f>59253-58309</f>
        <v>944</v>
      </c>
      <c r="I89" s="9">
        <f>262622-261965</f>
        <v>657</v>
      </c>
      <c r="J89" s="9">
        <f>6580+62-5295-62</f>
        <v>1285</v>
      </c>
      <c r="K89" s="9">
        <f>0</f>
        <v>0</v>
      </c>
      <c r="L89" s="9">
        <f>246147-242494</f>
        <v>3653</v>
      </c>
      <c r="M89" s="9">
        <f>5480-5001</f>
        <v>479</v>
      </c>
      <c r="N89" s="9">
        <f>440584-437244</f>
        <v>3340</v>
      </c>
      <c r="O89" s="9">
        <f>110760-109068</f>
        <v>1692</v>
      </c>
      <c r="P89" s="9">
        <f>100289-98882</f>
        <v>1407</v>
      </c>
      <c r="Q89" s="9">
        <f>84802-84778</f>
        <v>24</v>
      </c>
      <c r="R89" s="9">
        <f t="shared" si="17"/>
        <v>18646</v>
      </c>
    </row>
    <row r="90" spans="1:18" ht="15.75">
      <c r="A90" s="43" t="s">
        <v>74</v>
      </c>
      <c r="B90" s="44">
        <f aca="true" t="shared" si="18" ref="B90:R90">SUM(B78:B89)</f>
        <v>7868</v>
      </c>
      <c r="C90" s="44">
        <f t="shared" si="18"/>
        <v>3077</v>
      </c>
      <c r="D90" s="44">
        <f t="shared" si="18"/>
        <v>6315</v>
      </c>
      <c r="E90" s="44">
        <f t="shared" si="18"/>
        <v>19809</v>
      </c>
      <c r="F90" s="44">
        <f t="shared" si="18"/>
        <v>8969</v>
      </c>
      <c r="G90" s="44">
        <f t="shared" si="18"/>
        <v>14838</v>
      </c>
      <c r="H90" s="44">
        <f t="shared" si="18"/>
        <v>13649</v>
      </c>
      <c r="I90" s="44">
        <f t="shared" si="18"/>
        <v>7905</v>
      </c>
      <c r="J90" s="44">
        <f t="shared" si="18"/>
        <v>8692</v>
      </c>
      <c r="K90" s="44">
        <f t="shared" si="18"/>
        <v>202</v>
      </c>
      <c r="L90" s="44">
        <f t="shared" si="18"/>
        <v>26856</v>
      </c>
      <c r="M90" s="44">
        <f t="shared" si="18"/>
        <v>5059</v>
      </c>
      <c r="N90" s="44">
        <f t="shared" si="18"/>
        <v>51320</v>
      </c>
      <c r="O90" s="44">
        <f t="shared" si="18"/>
        <v>24374</v>
      </c>
      <c r="P90" s="44">
        <f t="shared" si="18"/>
        <v>17472</v>
      </c>
      <c r="Q90" s="44">
        <f t="shared" si="18"/>
        <v>3379</v>
      </c>
      <c r="R90" s="44">
        <f t="shared" si="18"/>
        <v>219784</v>
      </c>
    </row>
    <row r="91" spans="1:18" ht="15.75">
      <c r="A91" s="20" t="s">
        <v>71</v>
      </c>
      <c r="B91" s="21">
        <f aca="true" t="shared" si="19" ref="B91:R91">B90/12</f>
        <v>655.6666666666666</v>
      </c>
      <c r="C91" s="21">
        <f t="shared" si="19"/>
        <v>256.4166666666667</v>
      </c>
      <c r="D91" s="21">
        <f t="shared" si="19"/>
        <v>526.25</v>
      </c>
      <c r="E91" s="21">
        <f t="shared" si="19"/>
        <v>1650.75</v>
      </c>
      <c r="F91" s="21">
        <f t="shared" si="19"/>
        <v>747.4166666666666</v>
      </c>
      <c r="G91" s="21">
        <f t="shared" si="19"/>
        <v>1236.5</v>
      </c>
      <c r="H91" s="21">
        <f t="shared" si="19"/>
        <v>1137.4166666666667</v>
      </c>
      <c r="I91" s="21">
        <f t="shared" si="19"/>
        <v>658.75</v>
      </c>
      <c r="J91" s="21">
        <f t="shared" si="19"/>
        <v>724.3333333333334</v>
      </c>
      <c r="K91" s="21">
        <f t="shared" si="19"/>
        <v>16.833333333333332</v>
      </c>
      <c r="L91" s="21">
        <f t="shared" si="19"/>
        <v>2238</v>
      </c>
      <c r="M91" s="21">
        <f t="shared" si="19"/>
        <v>421.5833333333333</v>
      </c>
      <c r="N91" s="21">
        <f t="shared" si="19"/>
        <v>4276.666666666667</v>
      </c>
      <c r="O91" s="21">
        <f t="shared" si="19"/>
        <v>2031.1666666666667</v>
      </c>
      <c r="P91" s="21">
        <f t="shared" si="19"/>
        <v>1456</v>
      </c>
      <c r="Q91" s="21">
        <f t="shared" si="19"/>
        <v>281.5833333333333</v>
      </c>
      <c r="R91" s="21">
        <f t="shared" si="19"/>
        <v>18315.333333333332</v>
      </c>
    </row>
    <row r="92" spans="1:18" ht="15.75">
      <c r="A92" s="20" t="s">
        <v>135</v>
      </c>
      <c r="B92" s="21">
        <f>B91/(129+93)</f>
        <v>2.953453453453453</v>
      </c>
      <c r="C92" s="21">
        <f>C91/42</f>
        <v>6.10515873015873</v>
      </c>
      <c r="D92" s="21">
        <f>D91/194</f>
        <v>2.7126288659793816</v>
      </c>
      <c r="E92" s="21">
        <f>E91/296</f>
        <v>5.576858108108108</v>
      </c>
      <c r="F92" s="21">
        <f>F91/359</f>
        <v>2.081940575673166</v>
      </c>
      <c r="G92" s="21">
        <f>G91/368</f>
        <v>3.360054347826087</v>
      </c>
      <c r="H92" s="21">
        <f>H91/312</f>
        <v>3.6455662393162394</v>
      </c>
      <c r="I92" s="21">
        <f>I91/(99+120+122)</f>
        <v>1.9318181818181819</v>
      </c>
      <c r="J92" s="21">
        <f>J91/295</f>
        <v>2.455367231638418</v>
      </c>
      <c r="K92" s="21">
        <f>K91/282</f>
        <v>0.05969267139479905</v>
      </c>
      <c r="L92" s="21">
        <f>L91/(363+80)</f>
        <v>5.051918735891648</v>
      </c>
      <c r="M92" s="21">
        <f>M91/127</f>
        <v>3.319553805774278</v>
      </c>
      <c r="N92" s="21">
        <f>N91/750</f>
        <v>5.702222222222223</v>
      </c>
      <c r="O92" s="21">
        <f>O91/(328+160)</f>
        <v>4.1622267759562845</v>
      </c>
      <c r="P92" s="21">
        <f>P91/320</f>
        <v>4.55</v>
      </c>
      <c r="Q92" s="21">
        <f>Q91/192</f>
        <v>1.466579861111111</v>
      </c>
      <c r="R92" s="21">
        <f>R91/5031</f>
        <v>3.640495593983966</v>
      </c>
    </row>
    <row r="93" spans="1:18" ht="15.75">
      <c r="A93" s="23" t="s">
        <v>142</v>
      </c>
      <c r="B93" s="21">
        <f aca="true" t="shared" si="20" ref="B93:R93">B92*12/2.5</f>
        <v>14.176576576576576</v>
      </c>
      <c r="C93" s="21">
        <f t="shared" si="20"/>
        <v>29.304761904761904</v>
      </c>
      <c r="D93" s="21">
        <f t="shared" si="20"/>
        <v>13.020618556701033</v>
      </c>
      <c r="E93" s="21">
        <f t="shared" si="20"/>
        <v>26.768918918918917</v>
      </c>
      <c r="F93" s="21">
        <f t="shared" si="20"/>
        <v>9.993314763231197</v>
      </c>
      <c r="G93" s="21">
        <f t="shared" si="20"/>
        <v>16.128260869565217</v>
      </c>
      <c r="H93" s="21">
        <f t="shared" si="20"/>
        <v>17.49871794871795</v>
      </c>
      <c r="I93" s="21">
        <f t="shared" si="20"/>
        <v>9.272727272727273</v>
      </c>
      <c r="J93" s="21">
        <f t="shared" si="20"/>
        <v>11.785762711864407</v>
      </c>
      <c r="K93" s="21">
        <f t="shared" si="20"/>
        <v>0.28652482269503543</v>
      </c>
      <c r="L93" s="21">
        <f t="shared" si="20"/>
        <v>24.24920993227991</v>
      </c>
      <c r="M93" s="21">
        <f t="shared" si="20"/>
        <v>15.933858267716534</v>
      </c>
      <c r="N93" s="21">
        <f t="shared" si="20"/>
        <v>27.370666666666672</v>
      </c>
      <c r="O93" s="21">
        <f t="shared" si="20"/>
        <v>19.978688524590165</v>
      </c>
      <c r="P93" s="21">
        <f t="shared" si="20"/>
        <v>21.839999999999996</v>
      </c>
      <c r="Q93" s="21">
        <f t="shared" si="20"/>
        <v>7.039583333333333</v>
      </c>
      <c r="R93" s="21">
        <f t="shared" si="20"/>
        <v>17.47437885112304</v>
      </c>
    </row>
    <row r="96" spans="1:18" ht="15.75">
      <c r="A96" s="9" t="s">
        <v>18</v>
      </c>
      <c r="B96" s="9" t="s">
        <v>72</v>
      </c>
      <c r="C96" s="9" t="s">
        <v>2</v>
      </c>
      <c r="D96" s="9" t="s">
        <v>3</v>
      </c>
      <c r="E96" s="9" t="s">
        <v>4</v>
      </c>
      <c r="F96" s="9" t="s">
        <v>5</v>
      </c>
      <c r="G96" s="9" t="s">
        <v>6</v>
      </c>
      <c r="H96" s="9" t="s">
        <v>7</v>
      </c>
      <c r="I96" s="9" t="s">
        <v>8</v>
      </c>
      <c r="J96" s="9" t="s">
        <v>9</v>
      </c>
      <c r="K96" s="9" t="s">
        <v>10</v>
      </c>
      <c r="L96" s="9" t="s">
        <v>11</v>
      </c>
      <c r="M96" s="9" t="s">
        <v>12</v>
      </c>
      <c r="N96" s="9" t="s">
        <v>13</v>
      </c>
      <c r="O96" s="9" t="s">
        <v>138</v>
      </c>
      <c r="P96" s="9" t="s">
        <v>15</v>
      </c>
      <c r="Q96" s="9" t="s">
        <v>16</v>
      </c>
      <c r="R96" s="10" t="s">
        <v>134</v>
      </c>
    </row>
    <row r="97" spans="1:18" ht="15.75">
      <c r="A97" s="13" t="s">
        <v>167</v>
      </c>
      <c r="B97" s="12">
        <f>24482-24088</f>
        <v>394</v>
      </c>
      <c r="C97" s="12">
        <f>2886-2715</f>
        <v>171</v>
      </c>
      <c r="D97" s="9">
        <f>18147-17957</f>
        <v>190</v>
      </c>
      <c r="E97" s="9">
        <f>145705-144943</f>
        <v>762</v>
      </c>
      <c r="F97" s="9">
        <f>30503-30049</f>
        <v>454</v>
      </c>
      <c r="G97" s="9">
        <f>108095-107265</f>
        <v>830</v>
      </c>
      <c r="H97" s="9">
        <f>59589-59253</f>
        <v>336</v>
      </c>
      <c r="I97" s="9">
        <f>262975-262622</f>
        <v>353</v>
      </c>
      <c r="J97" s="9">
        <f>6974-6580</f>
        <v>394</v>
      </c>
      <c r="K97" s="9">
        <v>0</v>
      </c>
      <c r="L97" s="9">
        <f>248480-246147</f>
        <v>2333</v>
      </c>
      <c r="M97" s="9">
        <f>5775-5480</f>
        <v>295</v>
      </c>
      <c r="N97" s="9">
        <f>442446-440584</f>
        <v>1862</v>
      </c>
      <c r="O97" s="9">
        <f>111500-110760</f>
        <v>740</v>
      </c>
      <c r="P97" s="9">
        <f>101104-100289</f>
        <v>815</v>
      </c>
      <c r="Q97" s="9">
        <f>84822-84802</f>
        <v>20</v>
      </c>
      <c r="R97" s="9">
        <f>SUM(B97:Q97)</f>
        <v>9949</v>
      </c>
    </row>
    <row r="98" spans="1:18" ht="15.75">
      <c r="A98" s="13" t="s">
        <v>168</v>
      </c>
      <c r="B98" s="9">
        <f>25141-24482</f>
        <v>659</v>
      </c>
      <c r="C98" s="9">
        <f>3213-2886</f>
        <v>327</v>
      </c>
      <c r="D98" s="8">
        <f>18657-18147</f>
        <v>510</v>
      </c>
      <c r="E98" s="9">
        <f>148067-145705</f>
        <v>2362</v>
      </c>
      <c r="F98" s="9">
        <f>31567-30503</f>
        <v>1064</v>
      </c>
      <c r="G98" s="9">
        <f>109558-108095</f>
        <v>1463</v>
      </c>
      <c r="H98" s="9">
        <f>60904-59589</f>
        <v>1315</v>
      </c>
      <c r="I98" s="9">
        <f>263528-262975</f>
        <v>553</v>
      </c>
      <c r="J98" s="9">
        <f>7162-6974+581-62</f>
        <v>707</v>
      </c>
      <c r="K98" s="12">
        <v>0</v>
      </c>
      <c r="L98" s="12">
        <f>250320-248480</f>
        <v>1840</v>
      </c>
      <c r="M98" s="9">
        <f>6358-5775</f>
        <v>583</v>
      </c>
      <c r="N98" s="9">
        <f>447772-442446</f>
        <v>5326</v>
      </c>
      <c r="O98" s="9">
        <f>113850-111500</f>
        <v>2350</v>
      </c>
      <c r="P98" s="9">
        <f>102599-101104</f>
        <v>1495</v>
      </c>
      <c r="Q98" s="9">
        <f>84856-84822</f>
        <v>34</v>
      </c>
      <c r="R98" s="9">
        <f>SUM(B98:Q98)</f>
        <v>20588</v>
      </c>
    </row>
    <row r="99" spans="1:18" ht="15.75">
      <c r="A99" s="13" t="s">
        <v>169</v>
      </c>
      <c r="B99" s="9">
        <f>25439-25141</f>
        <v>298</v>
      </c>
      <c r="C99" s="9">
        <f>3362-3213</f>
        <v>149</v>
      </c>
      <c r="D99" s="9">
        <f>18880-18657</f>
        <v>223</v>
      </c>
      <c r="E99" s="9">
        <f>148921-148067</f>
        <v>854</v>
      </c>
      <c r="F99" s="9">
        <f>32100-31567</f>
        <v>533</v>
      </c>
      <c r="G99" s="9">
        <f>110196-109558</f>
        <v>638</v>
      </c>
      <c r="H99" s="9">
        <f>61433-60904</f>
        <v>529</v>
      </c>
      <c r="I99" s="9">
        <f>263756-263528</f>
        <v>228</v>
      </c>
      <c r="J99" s="9">
        <f>7213-7162+952-581</f>
        <v>422</v>
      </c>
      <c r="K99" s="9">
        <f>4-54</f>
        <v>-50</v>
      </c>
      <c r="L99" s="9">
        <f>251143-250320</f>
        <v>823</v>
      </c>
      <c r="M99" s="9">
        <f>6613-6358</f>
        <v>255</v>
      </c>
      <c r="N99" s="9">
        <f>450092-447772</f>
        <v>2320</v>
      </c>
      <c r="O99" s="9">
        <f>114863-113850</f>
        <v>1013</v>
      </c>
      <c r="P99" s="9">
        <f>103235-102599</f>
        <v>636</v>
      </c>
      <c r="Q99" s="9">
        <f>2288</f>
        <v>2288</v>
      </c>
      <c r="R99" s="9">
        <f>SUM(B99:Q99)</f>
        <v>11159</v>
      </c>
    </row>
    <row r="100" spans="1:18" ht="15.75">
      <c r="A100" s="13" t="s">
        <v>170</v>
      </c>
      <c r="B100" s="9">
        <f>25708-25439</f>
        <v>269</v>
      </c>
      <c r="C100" s="9">
        <f>3504-3362</f>
        <v>142</v>
      </c>
      <c r="D100" s="9">
        <f>19092-18880</f>
        <v>212</v>
      </c>
      <c r="E100" s="9">
        <f>149828-148921</f>
        <v>907</v>
      </c>
      <c r="F100" s="9">
        <f>32579-32100</f>
        <v>479</v>
      </c>
      <c r="G100" s="9">
        <f>110793-110196</f>
        <v>597</v>
      </c>
      <c r="H100" s="9">
        <f>61948-61433</f>
        <v>515</v>
      </c>
      <c r="I100" s="9">
        <f>263987-263756</f>
        <v>231</v>
      </c>
      <c r="J100" s="9">
        <f>7281-7213+1298-952</f>
        <v>414</v>
      </c>
      <c r="K100" s="9">
        <f>0</f>
        <v>0</v>
      </c>
      <c r="L100" s="9">
        <f>251983-251143</f>
        <v>840</v>
      </c>
      <c r="M100" s="9">
        <f>6824-6613</f>
        <v>211</v>
      </c>
      <c r="N100" s="9">
        <f>452373-450092</f>
        <v>2281</v>
      </c>
      <c r="O100" s="9">
        <f>115903-114863</f>
        <v>1040</v>
      </c>
      <c r="P100" s="9">
        <f>103826-103235</f>
        <v>591</v>
      </c>
      <c r="Q100" s="9">
        <f>2683-2288</f>
        <v>395</v>
      </c>
      <c r="R100" s="9">
        <f>SUM(B100:Q100)</f>
        <v>9124</v>
      </c>
    </row>
    <row r="101" spans="1:18" ht="15.75">
      <c r="A101" s="13" t="s">
        <v>171</v>
      </c>
      <c r="B101" s="9">
        <f>26351-25708</f>
        <v>643</v>
      </c>
      <c r="C101" s="9">
        <f>3791-3504</f>
        <v>287</v>
      </c>
      <c r="D101" s="9">
        <f>19554-19092</f>
        <v>462</v>
      </c>
      <c r="E101" s="9">
        <f>152016-149828</f>
        <v>2188</v>
      </c>
      <c r="F101" s="9">
        <f>33543-32579</f>
        <v>964</v>
      </c>
      <c r="G101" s="9">
        <f>112217-110793</f>
        <v>1424</v>
      </c>
      <c r="H101" s="9">
        <f>63178-61948</f>
        <v>1230</v>
      </c>
      <c r="I101" s="9">
        <f>264487-263987</f>
        <v>500</v>
      </c>
      <c r="J101" s="9">
        <f>7680-7281+1924-1298</f>
        <v>1025</v>
      </c>
      <c r="K101" s="9">
        <v>0</v>
      </c>
      <c r="L101" s="9">
        <f>253783-251983</f>
        <v>1800</v>
      </c>
      <c r="M101" s="9">
        <f>7340-6824</f>
        <v>516</v>
      </c>
      <c r="N101" s="9">
        <f>457938-452373</f>
        <v>5565</v>
      </c>
      <c r="O101" s="9">
        <f>118160-115903</f>
        <v>2257</v>
      </c>
      <c r="P101" s="9">
        <f>105285-103826</f>
        <v>1459</v>
      </c>
      <c r="Q101" s="9">
        <f>3633-2683</f>
        <v>950</v>
      </c>
      <c r="R101" s="9">
        <f>SUM(B101:Q101)</f>
        <v>21270</v>
      </c>
    </row>
    <row r="102" spans="1:18" ht="15.75">
      <c r="A102" s="13" t="s">
        <v>172</v>
      </c>
      <c r="B102" s="9">
        <f>26943-26351</f>
        <v>592</v>
      </c>
      <c r="C102" s="9">
        <f>4087-3791</f>
        <v>296</v>
      </c>
      <c r="D102" s="9">
        <f>20013-19554</f>
        <v>459</v>
      </c>
      <c r="E102" s="9">
        <f>153934-152016</f>
        <v>1918</v>
      </c>
      <c r="F102" s="9">
        <f>34565-33543</f>
        <v>1022</v>
      </c>
      <c r="G102" s="9">
        <f>113572-112217</f>
        <v>1355</v>
      </c>
      <c r="H102" s="9">
        <f>64427-63178</f>
        <v>1249</v>
      </c>
      <c r="I102" s="9">
        <f>264950-264487</f>
        <v>463</v>
      </c>
      <c r="J102" s="9">
        <f>7913-7680+2655-1924</f>
        <v>964</v>
      </c>
      <c r="K102" s="9">
        <v>0</v>
      </c>
      <c r="L102" s="9">
        <f>255574-253783</f>
        <v>1791</v>
      </c>
      <c r="M102" s="9">
        <f>7845-7340</f>
        <v>505</v>
      </c>
      <c r="N102" s="9">
        <f>463741-457938</f>
        <v>5803</v>
      </c>
      <c r="O102" s="9">
        <f>120144-118160</f>
        <v>1984</v>
      </c>
      <c r="P102" s="9">
        <f>106678-105285</f>
        <v>1393</v>
      </c>
      <c r="Q102" s="9">
        <f>4556-3633</f>
        <v>923</v>
      </c>
      <c r="R102" s="9">
        <f aca="true" t="shared" si="21" ref="R102:R108">SUM(B102:Q102)</f>
        <v>20717</v>
      </c>
    </row>
    <row r="103" spans="1:18" ht="15.75">
      <c r="A103" s="13" t="s">
        <v>173</v>
      </c>
      <c r="B103" s="9">
        <f>27096-26943</f>
        <v>153</v>
      </c>
      <c r="C103" s="9">
        <f>4368-4087</f>
        <v>281</v>
      </c>
      <c r="D103" s="9">
        <f>20302-20013</f>
        <v>289</v>
      </c>
      <c r="E103" s="9">
        <f>154617-153934</f>
        <v>683</v>
      </c>
      <c r="F103" s="9">
        <f>35601-34565</f>
        <v>1036</v>
      </c>
      <c r="G103" s="9">
        <f>114824-113572</f>
        <v>1252</v>
      </c>
      <c r="H103" s="9">
        <f>65331-64427</f>
        <v>904</v>
      </c>
      <c r="I103" s="9">
        <f>265417-264950</f>
        <v>467</v>
      </c>
      <c r="J103" s="9">
        <f>8048-7913+3183-2655</f>
        <v>663</v>
      </c>
      <c r="K103" s="9">
        <v>0</v>
      </c>
      <c r="L103" s="9">
        <f>255797-255574</f>
        <v>223</v>
      </c>
      <c r="M103" s="9">
        <f>8323-7845</f>
        <v>478</v>
      </c>
      <c r="N103" s="9">
        <f>467744-463741</f>
        <v>4003</v>
      </c>
      <c r="O103" s="9">
        <f>120693-120144</f>
        <v>549</v>
      </c>
      <c r="P103" s="9">
        <f>107827-106678</f>
        <v>1149</v>
      </c>
      <c r="Q103" s="9">
        <f>5032-4556</f>
        <v>476</v>
      </c>
      <c r="R103" s="9">
        <f t="shared" si="21"/>
        <v>12606</v>
      </c>
    </row>
    <row r="104" spans="1:18" ht="15.75">
      <c r="A104" s="13" t="s">
        <v>174</v>
      </c>
      <c r="B104" s="9">
        <f>27306-27096</f>
        <v>210</v>
      </c>
      <c r="C104" s="9">
        <f>4644-4368</f>
        <v>276</v>
      </c>
      <c r="D104" s="9">
        <f>20562-20302</f>
        <v>260</v>
      </c>
      <c r="E104" s="9">
        <f>155042-154617</f>
        <v>425</v>
      </c>
      <c r="F104" s="9">
        <f>36546-35601</f>
        <v>945</v>
      </c>
      <c r="G104" s="9">
        <f>115978-114824</f>
        <v>1154</v>
      </c>
      <c r="H104" s="9">
        <f>66078-65331</f>
        <v>747</v>
      </c>
      <c r="I104" s="9">
        <f>265735-265417</f>
        <v>318</v>
      </c>
      <c r="J104" s="9">
        <f>8161-8048+3710-3183</f>
        <v>640</v>
      </c>
      <c r="K104" s="9">
        <v>0</v>
      </c>
      <c r="L104" s="9">
        <f>256110-255797</f>
        <v>313</v>
      </c>
      <c r="M104" s="9">
        <f>8816-8323</f>
        <v>493</v>
      </c>
      <c r="N104" s="9">
        <f>467884-467744</f>
        <v>140</v>
      </c>
      <c r="O104" s="9">
        <f>121139-120693</f>
        <v>446</v>
      </c>
      <c r="P104" s="9">
        <f>108926-107827</f>
        <v>1099</v>
      </c>
      <c r="Q104" s="9">
        <f>5486-5032</f>
        <v>454</v>
      </c>
      <c r="R104" s="9">
        <f t="shared" si="21"/>
        <v>7920</v>
      </c>
    </row>
    <row r="105" spans="1:18" ht="15.75">
      <c r="A105" s="13" t="s">
        <v>175</v>
      </c>
      <c r="B105" s="9">
        <f>28714-27306</f>
        <v>1408</v>
      </c>
      <c r="C105" s="9">
        <f>4940-4644</f>
        <v>296</v>
      </c>
      <c r="D105" s="9">
        <f>20891-20562</f>
        <v>329</v>
      </c>
      <c r="E105" s="9">
        <f>156815-155042</f>
        <v>1773</v>
      </c>
      <c r="F105" s="9">
        <f>37442-36546</f>
        <v>896</v>
      </c>
      <c r="G105" s="9">
        <f>117232-115978</f>
        <v>1254</v>
      </c>
      <c r="H105" s="9">
        <f>67079-66078</f>
        <v>1001</v>
      </c>
      <c r="I105" s="9">
        <v>0</v>
      </c>
      <c r="J105" s="9">
        <f>8347-8161+4310-3710</f>
        <v>786</v>
      </c>
      <c r="K105" s="9">
        <v>0</v>
      </c>
      <c r="L105" s="9">
        <f>257882-256110</f>
        <v>1772</v>
      </c>
      <c r="M105" s="9">
        <f>9303-8816</f>
        <v>487</v>
      </c>
      <c r="N105" s="9">
        <v>0</v>
      </c>
      <c r="O105" s="9">
        <f>122597-121139</f>
        <v>1458</v>
      </c>
      <c r="P105" s="9">
        <f>110056-108926</f>
        <v>1130</v>
      </c>
      <c r="Q105" s="9">
        <f>6111-5486</f>
        <v>625</v>
      </c>
      <c r="R105" s="9">
        <f t="shared" si="21"/>
        <v>13215</v>
      </c>
    </row>
    <row r="106" spans="1:18" ht="15.75">
      <c r="A106" s="13" t="s">
        <v>176</v>
      </c>
      <c r="B106" s="9">
        <f>29122-28714</f>
        <v>408</v>
      </c>
      <c r="C106" s="9">
        <f>5202-4940</f>
        <v>262</v>
      </c>
      <c r="D106" s="9">
        <f>21306-20891</f>
        <v>415</v>
      </c>
      <c r="E106" s="9">
        <f>159142-156815</f>
        <v>2327</v>
      </c>
      <c r="F106" s="9">
        <f>38347-37442</f>
        <v>905</v>
      </c>
      <c r="G106" s="9">
        <f>118583-117232</f>
        <v>1351</v>
      </c>
      <c r="H106" s="9">
        <f>68303-67079</f>
        <v>1224</v>
      </c>
      <c r="I106" s="9">
        <v>0</v>
      </c>
      <c r="J106" s="9">
        <f>8723-8347+4850-4310</f>
        <v>916</v>
      </c>
      <c r="K106" s="9">
        <v>0</v>
      </c>
      <c r="L106" s="9">
        <f>259562-257882</f>
        <v>1680</v>
      </c>
      <c r="M106" s="9">
        <f>9819-9303</f>
        <v>516</v>
      </c>
      <c r="N106" s="9">
        <v>1</v>
      </c>
      <c r="O106" s="9">
        <f>124808-122597</f>
        <v>2211</v>
      </c>
      <c r="P106" s="9">
        <f>111456-110056</f>
        <v>1400</v>
      </c>
      <c r="Q106" s="9">
        <f>6884-6111</f>
        <v>773</v>
      </c>
      <c r="R106" s="9">
        <f t="shared" si="21"/>
        <v>14389</v>
      </c>
    </row>
    <row r="107" spans="1:18" ht="15.75">
      <c r="A107" s="13" t="s">
        <v>177</v>
      </c>
      <c r="B107" s="9">
        <f>29974-29122</f>
        <v>852</v>
      </c>
      <c r="C107" s="9">
        <f>5449-5202</f>
        <v>247</v>
      </c>
      <c r="D107" s="9">
        <f>21705-21306</f>
        <v>399</v>
      </c>
      <c r="E107" s="9">
        <f>161532-159142</f>
        <v>2390</v>
      </c>
      <c r="F107" s="9">
        <f>39172-38347</f>
        <v>825</v>
      </c>
      <c r="G107" s="9">
        <f>119863-118583</f>
        <v>1280</v>
      </c>
      <c r="H107" s="9">
        <f>69446-68303</f>
        <v>1143</v>
      </c>
      <c r="I107" s="9">
        <v>0</v>
      </c>
      <c r="J107" s="9">
        <f>9184-8723+5357-4850</f>
        <v>968</v>
      </c>
      <c r="K107" s="9">
        <f>463-4</f>
        <v>459</v>
      </c>
      <c r="L107" s="9">
        <f>261260-259562</f>
        <v>1698</v>
      </c>
      <c r="M107" s="9">
        <f>10294-9819</f>
        <v>475</v>
      </c>
      <c r="N107" s="9">
        <v>0</v>
      </c>
      <c r="O107" s="9">
        <v>0</v>
      </c>
      <c r="P107" s="9">
        <f>112807-111456</f>
        <v>1351</v>
      </c>
      <c r="Q107" s="9">
        <f>7259-6884</f>
        <v>375</v>
      </c>
      <c r="R107" s="9">
        <f t="shared" si="21"/>
        <v>12462</v>
      </c>
    </row>
    <row r="108" spans="1:18" ht="15.75">
      <c r="A108" s="13" t="s">
        <v>178</v>
      </c>
      <c r="B108" s="9">
        <f>30800-29974</f>
        <v>826</v>
      </c>
      <c r="C108" s="9">
        <f>5733-5449</f>
        <v>284</v>
      </c>
      <c r="D108" s="9">
        <f>22167-21705</f>
        <v>462</v>
      </c>
      <c r="E108" s="9">
        <f>161914-161532</f>
        <v>382</v>
      </c>
      <c r="F108" s="9">
        <f>40331-39172</f>
        <v>1159</v>
      </c>
      <c r="G108" s="9">
        <f>121192-119863</f>
        <v>1329</v>
      </c>
      <c r="H108" s="9">
        <f>70866-69446</f>
        <v>1420</v>
      </c>
      <c r="I108" s="9">
        <v>1</v>
      </c>
      <c r="J108" s="9">
        <f>9438-9184+6128-5357</f>
        <v>1025</v>
      </c>
      <c r="K108" s="9">
        <f>1850-463</f>
        <v>1387</v>
      </c>
      <c r="L108" s="9">
        <f>263118-261260</f>
        <v>1858</v>
      </c>
      <c r="M108" s="9">
        <f>10769-10294</f>
        <v>475</v>
      </c>
      <c r="N108" s="9">
        <v>1</v>
      </c>
      <c r="O108" s="9">
        <v>0</v>
      </c>
      <c r="P108" s="9">
        <f>114253-112807</f>
        <v>1446</v>
      </c>
      <c r="Q108" s="9">
        <f>0</f>
        <v>0</v>
      </c>
      <c r="R108" s="9">
        <f t="shared" si="21"/>
        <v>12055</v>
      </c>
    </row>
    <row r="109" spans="1:18" ht="15.75">
      <c r="A109" s="43" t="s">
        <v>74</v>
      </c>
      <c r="B109" s="44">
        <f aca="true" t="shared" si="22" ref="B109:R109">SUM(B97:B108)</f>
        <v>6712</v>
      </c>
      <c r="C109" s="44">
        <f t="shared" si="22"/>
        <v>3018</v>
      </c>
      <c r="D109" s="44">
        <f t="shared" si="22"/>
        <v>4210</v>
      </c>
      <c r="E109" s="44">
        <f t="shared" si="22"/>
        <v>16971</v>
      </c>
      <c r="F109" s="44">
        <f t="shared" si="22"/>
        <v>10282</v>
      </c>
      <c r="G109" s="44">
        <f t="shared" si="22"/>
        <v>13927</v>
      </c>
      <c r="H109" s="44">
        <f t="shared" si="22"/>
        <v>11613</v>
      </c>
      <c r="I109" s="44">
        <f t="shared" si="22"/>
        <v>3114</v>
      </c>
      <c r="J109" s="44">
        <f t="shared" si="22"/>
        <v>8924</v>
      </c>
      <c r="K109" s="44">
        <f t="shared" si="22"/>
        <v>1796</v>
      </c>
      <c r="L109" s="44">
        <f t="shared" si="22"/>
        <v>16971</v>
      </c>
      <c r="M109" s="44">
        <f t="shared" si="22"/>
        <v>5289</v>
      </c>
      <c r="N109" s="44">
        <f t="shared" si="22"/>
        <v>27302</v>
      </c>
      <c r="O109" s="44">
        <f t="shared" si="22"/>
        <v>14048</v>
      </c>
      <c r="P109" s="44">
        <f t="shared" si="22"/>
        <v>13964</v>
      </c>
      <c r="Q109" s="44">
        <f t="shared" si="22"/>
        <v>7313</v>
      </c>
      <c r="R109" s="44">
        <f t="shared" si="22"/>
        <v>165454</v>
      </c>
    </row>
    <row r="110" spans="1:18" ht="15.75">
      <c r="A110" s="20" t="s">
        <v>71</v>
      </c>
      <c r="B110" s="21">
        <f aca="true" t="shared" si="23" ref="B110:R110">B109/12</f>
        <v>559.3333333333334</v>
      </c>
      <c r="C110" s="21">
        <f t="shared" si="23"/>
        <v>251.5</v>
      </c>
      <c r="D110" s="21">
        <f t="shared" si="23"/>
        <v>350.8333333333333</v>
      </c>
      <c r="E110" s="21">
        <f t="shared" si="23"/>
        <v>1414.25</v>
      </c>
      <c r="F110" s="21">
        <f t="shared" si="23"/>
        <v>856.8333333333334</v>
      </c>
      <c r="G110" s="21">
        <f t="shared" si="23"/>
        <v>1160.5833333333333</v>
      </c>
      <c r="H110" s="21">
        <f t="shared" si="23"/>
        <v>967.75</v>
      </c>
      <c r="I110" s="21">
        <f t="shared" si="23"/>
        <v>259.5</v>
      </c>
      <c r="J110" s="21">
        <f t="shared" si="23"/>
        <v>743.6666666666666</v>
      </c>
      <c r="K110" s="21">
        <f t="shared" si="23"/>
        <v>149.66666666666666</v>
      </c>
      <c r="L110" s="21">
        <f t="shared" si="23"/>
        <v>1414.25</v>
      </c>
      <c r="M110" s="21">
        <f t="shared" si="23"/>
        <v>440.75</v>
      </c>
      <c r="N110" s="21">
        <f t="shared" si="23"/>
        <v>2275.1666666666665</v>
      </c>
      <c r="O110" s="21">
        <f t="shared" si="23"/>
        <v>1170.6666666666667</v>
      </c>
      <c r="P110" s="21">
        <f t="shared" si="23"/>
        <v>1163.6666666666667</v>
      </c>
      <c r="Q110" s="21">
        <f t="shared" si="23"/>
        <v>609.4166666666666</v>
      </c>
      <c r="R110" s="21">
        <f t="shared" si="23"/>
        <v>13787.833333333334</v>
      </c>
    </row>
    <row r="111" spans="1:18" ht="15.75">
      <c r="A111" s="20" t="s">
        <v>135</v>
      </c>
      <c r="B111" s="21">
        <f>B110/(120+82)</f>
        <v>2.768976897689769</v>
      </c>
      <c r="C111" s="21">
        <f>C110/46</f>
        <v>5.467391304347826</v>
      </c>
      <c r="D111" s="21">
        <f>D110/199</f>
        <v>1.7629815745393633</v>
      </c>
      <c r="E111" s="21">
        <f>E110/300</f>
        <v>4.714166666666666</v>
      </c>
      <c r="F111" s="21">
        <f>F110/361</f>
        <v>2.373499538319483</v>
      </c>
      <c r="G111" s="21">
        <f>G110/370</f>
        <v>3.1367117117117114</v>
      </c>
      <c r="H111" s="21">
        <f>H110/314</f>
        <v>3.0820063694267517</v>
      </c>
      <c r="I111" s="21">
        <f>I110/343</f>
        <v>0.7565597667638484</v>
      </c>
      <c r="J111" s="21">
        <f>J110/297</f>
        <v>2.503928170594837</v>
      </c>
      <c r="K111" s="21">
        <f>K110/285</f>
        <v>0.5251461988304094</v>
      </c>
      <c r="L111" s="21">
        <f>L110/447</f>
        <v>3.163870246085011</v>
      </c>
      <c r="M111" s="21">
        <f>M110/128</f>
        <v>3.443359375</v>
      </c>
      <c r="N111" s="21">
        <f>N110/(296+476)</f>
        <v>2.9471070811744386</v>
      </c>
      <c r="O111" s="21">
        <f>O110/(328+173)</f>
        <v>2.33666001330672</v>
      </c>
      <c r="P111" s="21">
        <f>P110/326</f>
        <v>3.5695296523517386</v>
      </c>
      <c r="Q111" s="21">
        <f>Q110/192</f>
        <v>3.174045138888889</v>
      </c>
      <c r="R111" s="21">
        <f>R110/5083</f>
        <v>2.7125385271165325</v>
      </c>
    </row>
    <row r="112" spans="1:18" ht="15.75">
      <c r="A112" s="23" t="s">
        <v>142</v>
      </c>
      <c r="B112" s="21">
        <f aca="true" t="shared" si="24" ref="B112:R112">B111*12/2.5</f>
        <v>13.291089108910892</v>
      </c>
      <c r="C112" s="21">
        <f t="shared" si="24"/>
        <v>26.243478260869562</v>
      </c>
      <c r="D112" s="21">
        <f t="shared" si="24"/>
        <v>8.462311557788944</v>
      </c>
      <c r="E112" s="21">
        <f t="shared" si="24"/>
        <v>22.627999999999997</v>
      </c>
      <c r="F112" s="21">
        <f t="shared" si="24"/>
        <v>11.392797783933519</v>
      </c>
      <c r="G112" s="21">
        <f t="shared" si="24"/>
        <v>15.056216216216214</v>
      </c>
      <c r="H112" s="21">
        <f t="shared" si="24"/>
        <v>14.793630573248407</v>
      </c>
      <c r="I112" s="21">
        <f t="shared" si="24"/>
        <v>3.631486880466473</v>
      </c>
      <c r="J112" s="21">
        <f t="shared" si="24"/>
        <v>12.018855218855219</v>
      </c>
      <c r="K112" s="21">
        <f t="shared" si="24"/>
        <v>2.520701754385965</v>
      </c>
      <c r="L112" s="21">
        <f t="shared" si="24"/>
        <v>15.186577181208055</v>
      </c>
      <c r="M112" s="21">
        <f t="shared" si="24"/>
        <v>16.528125</v>
      </c>
      <c r="N112" s="21">
        <f t="shared" si="24"/>
        <v>14.146113989637305</v>
      </c>
      <c r="O112" s="21">
        <f t="shared" si="24"/>
        <v>11.215968063872257</v>
      </c>
      <c r="P112" s="21">
        <f t="shared" si="24"/>
        <v>17.133742331288346</v>
      </c>
      <c r="Q112" s="21">
        <f t="shared" si="24"/>
        <v>15.235416666666666</v>
      </c>
      <c r="R112" s="21">
        <f t="shared" si="24"/>
        <v>13.020184930159356</v>
      </c>
    </row>
    <row r="115" spans="1:18" ht="15.75">
      <c r="A115" s="9" t="s">
        <v>18</v>
      </c>
      <c r="B115" s="9" t="s">
        <v>72</v>
      </c>
      <c r="C115" s="9" t="s">
        <v>2</v>
      </c>
      <c r="D115" s="9" t="s">
        <v>3</v>
      </c>
      <c r="E115" s="9" t="s">
        <v>4</v>
      </c>
      <c r="F115" s="9" t="s">
        <v>5</v>
      </c>
      <c r="G115" s="9" t="s">
        <v>6</v>
      </c>
      <c r="H115" s="9" t="s">
        <v>7</v>
      </c>
      <c r="I115" s="9" t="s">
        <v>8</v>
      </c>
      <c r="J115" s="9" t="s">
        <v>9</v>
      </c>
      <c r="K115" s="9" t="s">
        <v>10</v>
      </c>
      <c r="L115" s="9" t="s">
        <v>11</v>
      </c>
      <c r="M115" s="9" t="s">
        <v>12</v>
      </c>
      <c r="N115" s="9" t="s">
        <v>13</v>
      </c>
      <c r="O115" s="9" t="s">
        <v>138</v>
      </c>
      <c r="P115" s="9" t="s">
        <v>15</v>
      </c>
      <c r="Q115" s="9" t="s">
        <v>16</v>
      </c>
      <c r="R115" s="10" t="s">
        <v>134</v>
      </c>
    </row>
    <row r="116" spans="1:18" ht="15.75">
      <c r="A116" s="13" t="s">
        <v>193</v>
      </c>
      <c r="B116" s="12">
        <f>31641-30800</f>
        <v>841</v>
      </c>
      <c r="C116" s="12">
        <f>6017-5733</f>
        <v>284</v>
      </c>
      <c r="D116" s="9">
        <f>22578-22167</f>
        <v>411</v>
      </c>
      <c r="E116" s="9">
        <f>161914-161914</f>
        <v>0</v>
      </c>
      <c r="F116" s="9">
        <f>40832-40331</f>
        <v>501</v>
      </c>
      <c r="G116" s="9">
        <f>122530-121192</f>
        <v>1338</v>
      </c>
      <c r="H116" s="9">
        <f>71649-70866</f>
        <v>783</v>
      </c>
      <c r="I116" s="9">
        <f>1</f>
        <v>1</v>
      </c>
      <c r="J116" s="9">
        <f>9537-9438+6892-6128</f>
        <v>863</v>
      </c>
      <c r="K116" s="9">
        <f>3059-1850</f>
        <v>1209</v>
      </c>
      <c r="L116" s="9">
        <f>263321-263118</f>
        <v>203</v>
      </c>
      <c r="M116" s="9">
        <f>1264-769</f>
        <v>495</v>
      </c>
      <c r="N116" s="9">
        <f>0</f>
        <v>0</v>
      </c>
      <c r="O116" s="9">
        <v>0</v>
      </c>
      <c r="P116" s="9">
        <f>115763-114253</f>
        <v>1510</v>
      </c>
      <c r="Q116" s="9">
        <f>0</f>
        <v>0</v>
      </c>
      <c r="R116" s="9">
        <f>SUM(B116:Q116)</f>
        <v>8439</v>
      </c>
    </row>
    <row r="117" spans="1:18" ht="15.75">
      <c r="A117" s="13" t="s">
        <v>194</v>
      </c>
      <c r="B117" s="9">
        <f>32220-31641</f>
        <v>579</v>
      </c>
      <c r="C117" s="9">
        <f>6226-6017</f>
        <v>209</v>
      </c>
      <c r="D117" s="8">
        <f>22881-22578</f>
        <v>303</v>
      </c>
      <c r="E117" s="9">
        <f>0</f>
        <v>0</v>
      </c>
      <c r="F117" s="9">
        <f>41162-40832</f>
        <v>330</v>
      </c>
      <c r="G117" s="9">
        <f>123390-122530</f>
        <v>860</v>
      </c>
      <c r="H117" s="9">
        <f>72261-71649</f>
        <v>612</v>
      </c>
      <c r="I117" s="9">
        <f>0</f>
        <v>0</v>
      </c>
      <c r="J117" s="9">
        <f>9607-9537+7402-6892</f>
        <v>580</v>
      </c>
      <c r="K117" s="12">
        <f>3862-3059</f>
        <v>803</v>
      </c>
      <c r="L117" s="12">
        <f>263323-263321</f>
        <v>2</v>
      </c>
      <c r="M117" s="9">
        <f>1571-1264</f>
        <v>307</v>
      </c>
      <c r="N117" s="9">
        <f>467886-467886</f>
        <v>0</v>
      </c>
      <c r="O117" s="9">
        <f>131140-124808</f>
        <v>6332</v>
      </c>
      <c r="P117" s="9">
        <f>116659-115763</f>
        <v>896</v>
      </c>
      <c r="Q117" s="9">
        <v>0</v>
      </c>
      <c r="R117" s="9">
        <f>SUM(B117:Q117)</f>
        <v>11813</v>
      </c>
    </row>
    <row r="118" spans="1:18" ht="15.75">
      <c r="A118" s="13" t="s">
        <v>195</v>
      </c>
      <c r="B118" s="9">
        <f>33094-32220</f>
        <v>874</v>
      </c>
      <c r="C118" s="9">
        <f>6481-6226</f>
        <v>255</v>
      </c>
      <c r="D118" s="9">
        <f>23477-22881</f>
        <v>596</v>
      </c>
      <c r="E118" s="9">
        <v>0</v>
      </c>
      <c r="F118" s="9">
        <v>0</v>
      </c>
      <c r="G118" s="9">
        <f>124798-123390</f>
        <v>1408</v>
      </c>
      <c r="H118" s="9">
        <v>0</v>
      </c>
      <c r="I118" s="9">
        <v>485</v>
      </c>
      <c r="J118" s="9">
        <f>9736-9607+8386-7402</f>
        <v>1113</v>
      </c>
      <c r="K118" s="9">
        <f>5492-3862</f>
        <v>1630</v>
      </c>
      <c r="L118" s="9">
        <v>1092</v>
      </c>
      <c r="M118" s="9">
        <f>2097-1571</f>
        <v>526</v>
      </c>
      <c r="N118" s="9">
        <f>1631</f>
        <v>1631</v>
      </c>
      <c r="O118" s="9">
        <v>0</v>
      </c>
      <c r="P118" s="9">
        <f>118168-116659</f>
        <v>1509</v>
      </c>
      <c r="Q118" s="9">
        <v>1</v>
      </c>
      <c r="R118" s="9">
        <f>SUM(B118:Q118)</f>
        <v>11120</v>
      </c>
    </row>
    <row r="119" spans="1:18" ht="15.75">
      <c r="A119" s="13" t="s">
        <v>196</v>
      </c>
      <c r="B119" s="9">
        <f>33871-33094</f>
        <v>777</v>
      </c>
      <c r="C119" s="9">
        <f>6733-6481</f>
        <v>252</v>
      </c>
      <c r="D119" s="9">
        <f>24022-23477</f>
        <v>545</v>
      </c>
      <c r="E119" s="9">
        <v>0</v>
      </c>
      <c r="F119" s="9">
        <f>42219-41162</f>
        <v>1057</v>
      </c>
      <c r="G119" s="9">
        <f>126023-124798</f>
        <v>1225</v>
      </c>
      <c r="H119" s="9">
        <f>74160-72261</f>
        <v>1899</v>
      </c>
      <c r="I119" s="9">
        <f>1633-485</f>
        <v>1148</v>
      </c>
      <c r="J119" s="9">
        <f>9865-9736+9236-8386</f>
        <v>979</v>
      </c>
      <c r="K119" s="9">
        <f>6893-5492</f>
        <v>1401</v>
      </c>
      <c r="L119" s="9">
        <f>3669-1092</f>
        <v>2577</v>
      </c>
      <c r="M119" s="9">
        <f>2553-2097</f>
        <v>456</v>
      </c>
      <c r="N119" s="9">
        <f>5883-1631</f>
        <v>4252</v>
      </c>
      <c r="O119" s="9">
        <f>135499-131140</f>
        <v>4359</v>
      </c>
      <c r="P119" s="9">
        <f>119521-118168</f>
        <v>1353</v>
      </c>
      <c r="Q119" s="9">
        <f>89330-88565</f>
        <v>765</v>
      </c>
      <c r="R119" s="9">
        <f>SUM(B119:Q119)</f>
        <v>23045</v>
      </c>
    </row>
    <row r="120" spans="1:18" ht="15.75">
      <c r="A120" s="13" t="s">
        <v>197</v>
      </c>
      <c r="B120" s="9">
        <f>34726-33871</f>
        <v>855</v>
      </c>
      <c r="C120" s="9">
        <f>6899-6733</f>
        <v>166</v>
      </c>
      <c r="D120" s="9">
        <f>24659-24022</f>
        <v>637</v>
      </c>
      <c r="E120" s="9">
        <f>956</f>
        <v>956</v>
      </c>
      <c r="F120" s="9">
        <f>42763-42219</f>
        <v>544</v>
      </c>
      <c r="G120" s="9">
        <f>127462-126023</f>
        <v>1439</v>
      </c>
      <c r="H120" s="9">
        <f>75399-74160</f>
        <v>1239</v>
      </c>
      <c r="I120" s="9">
        <f>2984-1633</f>
        <v>1351</v>
      </c>
      <c r="J120" s="9">
        <f>10057-9865+10165-9236</f>
        <v>1121</v>
      </c>
      <c r="K120" s="9">
        <f>7428-6893</f>
        <v>535</v>
      </c>
      <c r="L120" s="9">
        <f>6429-3669</f>
        <v>2760</v>
      </c>
      <c r="M120" s="9">
        <f>3236-2553</f>
        <v>683</v>
      </c>
      <c r="N120" s="9">
        <f>10635-5883</f>
        <v>4752</v>
      </c>
      <c r="O120" s="9">
        <f>137784-135499</f>
        <v>2285</v>
      </c>
      <c r="P120" s="9">
        <f>120979-119521</f>
        <v>1458</v>
      </c>
      <c r="Q120" s="9">
        <f>0</f>
        <v>0</v>
      </c>
      <c r="R120" s="9">
        <f>SUM(B120:Q120)</f>
        <v>20781</v>
      </c>
    </row>
    <row r="121" spans="1:18" ht="15.75">
      <c r="A121" s="13" t="s">
        <v>198</v>
      </c>
      <c r="B121" s="9">
        <f>35471-34726</f>
        <v>745</v>
      </c>
      <c r="C121" s="9">
        <f>7034-6899</f>
        <v>135</v>
      </c>
      <c r="D121" s="9">
        <f>25123-24659</f>
        <v>464</v>
      </c>
      <c r="E121" s="9">
        <f>3503-956</f>
        <v>2547</v>
      </c>
      <c r="F121" s="9">
        <f>43205-42763</f>
        <v>442</v>
      </c>
      <c r="G121" s="9">
        <f>128664-127462</f>
        <v>1202</v>
      </c>
      <c r="H121" s="9">
        <f>76399-75399</f>
        <v>1000</v>
      </c>
      <c r="I121" s="9">
        <f>3866-2984</f>
        <v>882</v>
      </c>
      <c r="J121" s="9">
        <f>10159-10057+10859-10165</f>
        <v>796</v>
      </c>
      <c r="K121" s="9">
        <v>0</v>
      </c>
      <c r="L121" s="9">
        <f>9718-6429</f>
        <v>3289</v>
      </c>
      <c r="M121" s="9">
        <f>4022-3236</f>
        <v>786</v>
      </c>
      <c r="N121" s="9">
        <f>14563-10635</f>
        <v>3928</v>
      </c>
      <c r="O121" s="9">
        <f>139594-137784</f>
        <v>1810</v>
      </c>
      <c r="P121" s="9">
        <f>122289-120979</f>
        <v>1310</v>
      </c>
      <c r="Q121" s="9">
        <v>0</v>
      </c>
      <c r="R121" s="9">
        <f aca="true" t="shared" si="25" ref="R121:R127">SUM(B121:Q121)</f>
        <v>19336</v>
      </c>
    </row>
    <row r="122" spans="1:18" ht="15.75">
      <c r="A122" s="13" t="s">
        <v>199</v>
      </c>
      <c r="B122" s="9">
        <f>36357-35471</f>
        <v>886</v>
      </c>
      <c r="C122" s="9">
        <f>7148-7034</f>
        <v>114</v>
      </c>
      <c r="D122" s="9">
        <f>25246-25123</f>
        <v>123</v>
      </c>
      <c r="E122" s="9">
        <f>3885-3503</f>
        <v>382</v>
      </c>
      <c r="F122" s="9">
        <f>43397-43205</f>
        <v>192</v>
      </c>
      <c r="G122" s="9">
        <f>130029-128664</f>
        <v>1365</v>
      </c>
      <c r="H122" s="9">
        <f>76459-76399</f>
        <v>60</v>
      </c>
      <c r="I122" s="9">
        <f>3915-3866</f>
        <v>49</v>
      </c>
      <c r="J122" s="9">
        <f>10341-10159+11459-10859</f>
        <v>782</v>
      </c>
      <c r="K122" s="9">
        <v>0</v>
      </c>
      <c r="L122" s="9">
        <f>12210-9718</f>
        <v>2492</v>
      </c>
      <c r="M122" s="9">
        <f>4795-4022</f>
        <v>773</v>
      </c>
      <c r="N122" s="9">
        <f>17794-14563</f>
        <v>3231</v>
      </c>
      <c r="O122" s="9">
        <f>140542-139594</f>
        <v>948</v>
      </c>
      <c r="P122" s="9">
        <f>123568-122289</f>
        <v>1279</v>
      </c>
      <c r="Q122" s="9">
        <v>0</v>
      </c>
      <c r="R122" s="9">
        <f t="shared" si="25"/>
        <v>12676</v>
      </c>
    </row>
    <row r="123" spans="1:19" ht="15.75">
      <c r="A123" s="13" t="s">
        <v>200</v>
      </c>
      <c r="B123" s="9">
        <f>37251-36357</f>
        <v>894</v>
      </c>
      <c r="C123" s="9">
        <f>7273-7148</f>
        <v>125</v>
      </c>
      <c r="D123" s="9">
        <f>26094-25246</f>
        <v>848</v>
      </c>
      <c r="E123" s="9">
        <f>4842-3885</f>
        <v>957</v>
      </c>
      <c r="F123" s="9">
        <f>43564-43397</f>
        <v>167</v>
      </c>
      <c r="G123" s="9">
        <f>131252-130029</f>
        <v>1223</v>
      </c>
      <c r="H123" s="9">
        <f>76588-76459</f>
        <v>129</v>
      </c>
      <c r="I123" s="9">
        <f>4222-3915</f>
        <v>307</v>
      </c>
      <c r="J123" s="9">
        <f>10651-10341+11872-11459</f>
        <v>723</v>
      </c>
      <c r="K123" s="9">
        <v>1</v>
      </c>
      <c r="L123" s="9">
        <f>15162-12210</f>
        <v>2952</v>
      </c>
      <c r="M123" s="9">
        <f>5525-4795</f>
        <v>730</v>
      </c>
      <c r="N123" s="9">
        <f>22040-17794</f>
        <v>4246</v>
      </c>
      <c r="O123" s="9">
        <f>141239-140542</f>
        <v>697</v>
      </c>
      <c r="P123" s="9">
        <f>124824-123568</f>
        <v>1256</v>
      </c>
      <c r="Q123" s="9">
        <v>0</v>
      </c>
      <c r="R123" s="9">
        <f t="shared" si="25"/>
        <v>15255</v>
      </c>
      <c r="S123" s="8">
        <f>SUM(R116:R123)</f>
        <v>122465</v>
      </c>
    </row>
    <row r="124" spans="1:18" ht="15.75">
      <c r="A124" s="13" t="s">
        <v>201</v>
      </c>
      <c r="B124" s="9">
        <f>37978-37251</f>
        <v>727</v>
      </c>
      <c r="C124" s="9">
        <f>7370-7273</f>
        <v>97</v>
      </c>
      <c r="D124" s="9">
        <f>26527-26094</f>
        <v>433</v>
      </c>
      <c r="E124" s="9">
        <f>6367-4842</f>
        <v>1525</v>
      </c>
      <c r="F124" s="9">
        <f>44622-43564</f>
        <v>1058</v>
      </c>
      <c r="G124" s="9">
        <f>132142-131252</f>
        <v>890</v>
      </c>
      <c r="H124" s="9">
        <f>77490-76588</f>
        <v>902</v>
      </c>
      <c r="I124" s="9">
        <f>5488-4222</f>
        <v>1266</v>
      </c>
      <c r="J124" s="9">
        <f>1018-651+12332-11872</f>
        <v>827</v>
      </c>
      <c r="K124" s="9">
        <f>0</f>
        <v>0</v>
      </c>
      <c r="L124" s="9">
        <f>17555-15162</f>
        <v>2393</v>
      </c>
      <c r="M124" s="9">
        <f>6149-5525</f>
        <v>624</v>
      </c>
      <c r="N124" s="9">
        <f>26310-22040</f>
        <v>4270</v>
      </c>
      <c r="O124" s="9">
        <f>0</f>
        <v>0</v>
      </c>
      <c r="P124" s="9">
        <f>125872-124824</f>
        <v>1048</v>
      </c>
      <c r="Q124" s="9">
        <f>92844-92140</f>
        <v>704</v>
      </c>
      <c r="R124" s="9">
        <f t="shared" si="25"/>
        <v>16764</v>
      </c>
    </row>
    <row r="125" spans="1:18" ht="15.75">
      <c r="A125" s="13" t="s">
        <v>202</v>
      </c>
      <c r="B125" s="9">
        <f>38825-37978</f>
        <v>847</v>
      </c>
      <c r="C125" s="9">
        <f>7510-7370</f>
        <v>140</v>
      </c>
      <c r="D125" s="9">
        <f>27068-26527</f>
        <v>541</v>
      </c>
      <c r="E125" s="9">
        <f>8354-6367</f>
        <v>1987</v>
      </c>
      <c r="F125" s="9">
        <f>46863-44622</f>
        <v>2241</v>
      </c>
      <c r="G125" s="9">
        <f>132452-132142</f>
        <v>310</v>
      </c>
      <c r="H125" s="9">
        <f>78597-77490</f>
        <v>1107</v>
      </c>
      <c r="I125" s="9">
        <f>6929-5488</f>
        <v>1441</v>
      </c>
      <c r="J125" s="9">
        <f>1524-1018+12848-12332</f>
        <v>1022</v>
      </c>
      <c r="K125" s="9">
        <v>0</v>
      </c>
      <c r="L125" s="9">
        <f>21029-17555</f>
        <v>3474</v>
      </c>
      <c r="M125" s="9">
        <f>7012-6149</f>
        <v>863</v>
      </c>
      <c r="N125" s="9">
        <f>31987-26310</f>
        <v>5677</v>
      </c>
      <c r="O125" s="9">
        <v>0</v>
      </c>
      <c r="P125" s="9">
        <f>127180-125872</f>
        <v>1308</v>
      </c>
      <c r="Q125" s="9">
        <f>93764-92844</f>
        <v>920</v>
      </c>
      <c r="R125" s="9">
        <f t="shared" si="25"/>
        <v>21878</v>
      </c>
    </row>
    <row r="126" spans="1:18" ht="15.75">
      <c r="A126" s="13" t="s">
        <v>203</v>
      </c>
      <c r="B126" s="9">
        <f>39804-38825</f>
        <v>979</v>
      </c>
      <c r="C126" s="9">
        <f>7639-7510</f>
        <v>129</v>
      </c>
      <c r="D126" s="9">
        <f>27627-27068</f>
        <v>559</v>
      </c>
      <c r="E126" s="9">
        <f>11836-8354</f>
        <v>3482</v>
      </c>
      <c r="F126" s="9">
        <f>47057-46863</f>
        <v>194</v>
      </c>
      <c r="G126" s="9">
        <f>0</f>
        <v>0</v>
      </c>
      <c r="H126" s="9">
        <f>79843-78597</f>
        <v>1246</v>
      </c>
      <c r="I126" s="9">
        <f>8440-6929</f>
        <v>1511</v>
      </c>
      <c r="J126" s="9">
        <f>2059-1524+13397-12848</f>
        <v>1084</v>
      </c>
      <c r="K126" s="9">
        <v>0</v>
      </c>
      <c r="L126" s="9">
        <f>26478-21029</f>
        <v>5449</v>
      </c>
      <c r="M126" s="9">
        <f>7892-7012</f>
        <v>880</v>
      </c>
      <c r="N126" s="9">
        <f>38297-31987</f>
        <v>6310</v>
      </c>
      <c r="O126" s="9">
        <v>0</v>
      </c>
      <c r="P126" s="9">
        <f>128567-127180</f>
        <v>1387</v>
      </c>
      <c r="Q126" s="9">
        <f>94740-93764</f>
        <v>976</v>
      </c>
      <c r="R126" s="9">
        <f t="shared" si="25"/>
        <v>24186</v>
      </c>
    </row>
    <row r="127" spans="1:18" ht="15.75">
      <c r="A127" s="13" t="s">
        <v>204</v>
      </c>
      <c r="B127" s="9">
        <f>40760-39804</f>
        <v>956</v>
      </c>
      <c r="C127" s="9">
        <f>7794-7639</f>
        <v>155</v>
      </c>
      <c r="D127" s="9">
        <f>28410-27627</f>
        <v>783</v>
      </c>
      <c r="E127" s="9">
        <f>16816-11836</f>
        <v>4980</v>
      </c>
      <c r="F127" s="9">
        <f>47130-47057</f>
        <v>73</v>
      </c>
      <c r="G127" s="9">
        <v>0</v>
      </c>
      <c r="H127" s="9">
        <f>80890-79843</f>
        <v>1047</v>
      </c>
      <c r="I127" s="9">
        <f>9920-8440</f>
        <v>1480</v>
      </c>
      <c r="J127" s="9">
        <f>2622-2059+14457-13397</f>
        <v>1623</v>
      </c>
      <c r="K127" s="9">
        <v>0</v>
      </c>
      <c r="L127" s="9">
        <f>28190-26478</f>
        <v>1712</v>
      </c>
      <c r="M127" s="9">
        <f>8211-7892</f>
        <v>319</v>
      </c>
      <c r="N127" s="9">
        <f>44528-38297</f>
        <v>6231</v>
      </c>
      <c r="O127" s="9">
        <v>0</v>
      </c>
      <c r="P127" s="9">
        <f>129906-128567</f>
        <v>1339</v>
      </c>
      <c r="Q127" s="9">
        <f>95672-94740</f>
        <v>932</v>
      </c>
      <c r="R127" s="9">
        <f t="shared" si="25"/>
        <v>21630</v>
      </c>
    </row>
    <row r="128" spans="1:18" ht="15.75">
      <c r="A128" s="43" t="s">
        <v>74</v>
      </c>
      <c r="B128" s="44">
        <f aca="true" t="shared" si="26" ref="B128:R128">SUM(B116:B127)</f>
        <v>9960</v>
      </c>
      <c r="C128" s="44">
        <f t="shared" si="26"/>
        <v>2061</v>
      </c>
      <c r="D128" s="44">
        <f t="shared" si="26"/>
        <v>6243</v>
      </c>
      <c r="E128" s="44">
        <f t="shared" si="26"/>
        <v>16816</v>
      </c>
      <c r="F128" s="44">
        <f t="shared" si="26"/>
        <v>6799</v>
      </c>
      <c r="G128" s="44">
        <f t="shared" si="26"/>
        <v>11260</v>
      </c>
      <c r="H128" s="44">
        <f t="shared" si="26"/>
        <v>10024</v>
      </c>
      <c r="I128" s="44">
        <f t="shared" si="26"/>
        <v>9921</v>
      </c>
      <c r="J128" s="44">
        <f t="shared" si="26"/>
        <v>11513</v>
      </c>
      <c r="K128" s="44">
        <f t="shared" si="26"/>
        <v>5579</v>
      </c>
      <c r="L128" s="44">
        <f t="shared" si="26"/>
        <v>28395</v>
      </c>
      <c r="M128" s="44">
        <f t="shared" si="26"/>
        <v>7442</v>
      </c>
      <c r="N128" s="44">
        <f t="shared" si="26"/>
        <v>44528</v>
      </c>
      <c r="O128" s="44">
        <f t="shared" si="26"/>
        <v>16431</v>
      </c>
      <c r="P128" s="44">
        <f t="shared" si="26"/>
        <v>15653</v>
      </c>
      <c r="Q128" s="44">
        <f t="shared" si="26"/>
        <v>4298</v>
      </c>
      <c r="R128" s="44">
        <f t="shared" si="26"/>
        <v>206923</v>
      </c>
    </row>
    <row r="129" spans="1:18" ht="15.75">
      <c r="A129" s="20" t="s">
        <v>71</v>
      </c>
      <c r="B129" s="21">
        <f aca="true" t="shared" si="27" ref="B129:R129">B128/12</f>
        <v>830</v>
      </c>
      <c r="C129" s="21">
        <f t="shared" si="27"/>
        <v>171.75</v>
      </c>
      <c r="D129" s="21">
        <f t="shared" si="27"/>
        <v>520.25</v>
      </c>
      <c r="E129" s="21">
        <f t="shared" si="27"/>
        <v>1401.3333333333333</v>
      </c>
      <c r="F129" s="21">
        <f t="shared" si="27"/>
        <v>566.5833333333334</v>
      </c>
      <c r="G129" s="21">
        <f t="shared" si="27"/>
        <v>938.3333333333334</v>
      </c>
      <c r="H129" s="21">
        <f t="shared" si="27"/>
        <v>835.3333333333334</v>
      </c>
      <c r="I129" s="21">
        <f t="shared" si="27"/>
        <v>826.75</v>
      </c>
      <c r="J129" s="21">
        <f t="shared" si="27"/>
        <v>959.4166666666666</v>
      </c>
      <c r="K129" s="21">
        <f t="shared" si="27"/>
        <v>464.9166666666667</v>
      </c>
      <c r="L129" s="21">
        <f t="shared" si="27"/>
        <v>2366.25</v>
      </c>
      <c r="M129" s="21">
        <f t="shared" si="27"/>
        <v>620.1666666666666</v>
      </c>
      <c r="N129" s="21">
        <f t="shared" si="27"/>
        <v>3710.6666666666665</v>
      </c>
      <c r="O129" s="21">
        <f t="shared" si="27"/>
        <v>1369.25</v>
      </c>
      <c r="P129" s="21">
        <f t="shared" si="27"/>
        <v>1304.4166666666667</v>
      </c>
      <c r="Q129" s="21">
        <f t="shared" si="27"/>
        <v>358.1666666666667</v>
      </c>
      <c r="R129" s="21">
        <f t="shared" si="27"/>
        <v>17243.583333333332</v>
      </c>
    </row>
    <row r="130" spans="1:18" ht="15.75">
      <c r="A130" s="20" t="s">
        <v>135</v>
      </c>
      <c r="B130" s="21">
        <f>B129/(120+82)</f>
        <v>4.108910891089109</v>
      </c>
      <c r="C130" s="21">
        <f>C129/46</f>
        <v>3.733695652173913</v>
      </c>
      <c r="D130" s="21">
        <f>D129/199</f>
        <v>2.614321608040201</v>
      </c>
      <c r="E130" s="21">
        <f>E129/300</f>
        <v>4.671111111111111</v>
      </c>
      <c r="F130" s="21">
        <f>F129/361</f>
        <v>1.569482917820868</v>
      </c>
      <c r="G130" s="21">
        <f>G129/370</f>
        <v>2.536036036036036</v>
      </c>
      <c r="H130" s="21">
        <f>H129/314</f>
        <v>2.6602972399150744</v>
      </c>
      <c r="I130" s="21">
        <f>I129/343</f>
        <v>2.4103498542274053</v>
      </c>
      <c r="J130" s="21">
        <f>J129/297</f>
        <v>3.2303591470258137</v>
      </c>
      <c r="K130" s="21">
        <f>K129/285</f>
        <v>1.6312865497076023</v>
      </c>
      <c r="L130" s="21">
        <f>L129/347</f>
        <v>6.819164265129683</v>
      </c>
      <c r="M130" s="21">
        <f>M129/128</f>
        <v>4.845052083333333</v>
      </c>
      <c r="N130" s="21">
        <f>N129/(296+476)</f>
        <v>4.806563039723661</v>
      </c>
      <c r="O130" s="21">
        <f>O129/(328+173)</f>
        <v>2.7330339321357284</v>
      </c>
      <c r="P130" s="21">
        <f>P129/326</f>
        <v>4.001278118609407</v>
      </c>
      <c r="Q130" s="21">
        <f>Q129/192</f>
        <v>1.865451388888889</v>
      </c>
      <c r="R130" s="21">
        <f>R129/5083</f>
        <v>3.392402780510197</v>
      </c>
    </row>
    <row r="131" spans="1:18" ht="15.75">
      <c r="A131" s="23" t="s">
        <v>142</v>
      </c>
      <c r="B131" s="21">
        <f aca="true" t="shared" si="28" ref="B131:R131">B130*12/2.5</f>
        <v>19.722772277227723</v>
      </c>
      <c r="C131" s="21">
        <f t="shared" si="28"/>
        <v>17.92173913043478</v>
      </c>
      <c r="D131" s="21">
        <f t="shared" si="28"/>
        <v>12.548743718592965</v>
      </c>
      <c r="E131" s="21">
        <f t="shared" si="28"/>
        <v>22.421333333333333</v>
      </c>
      <c r="F131" s="21">
        <f t="shared" si="28"/>
        <v>7.5335180055401665</v>
      </c>
      <c r="G131" s="21">
        <f t="shared" si="28"/>
        <v>12.172972972972975</v>
      </c>
      <c r="H131" s="21">
        <f t="shared" si="28"/>
        <v>12.769426751592357</v>
      </c>
      <c r="I131" s="21">
        <f t="shared" si="28"/>
        <v>11.569679300291545</v>
      </c>
      <c r="J131" s="21">
        <f t="shared" si="28"/>
        <v>15.505723905723906</v>
      </c>
      <c r="K131" s="21">
        <f t="shared" si="28"/>
        <v>7.830175438596491</v>
      </c>
      <c r="L131" s="21">
        <f t="shared" si="28"/>
        <v>32.73198847262248</v>
      </c>
      <c r="M131" s="21">
        <f t="shared" si="28"/>
        <v>23.25625</v>
      </c>
      <c r="N131" s="21">
        <f t="shared" si="28"/>
        <v>23.071502590673575</v>
      </c>
      <c r="O131" s="21">
        <f t="shared" si="28"/>
        <v>13.118562874251495</v>
      </c>
      <c r="P131" s="21">
        <f t="shared" si="28"/>
        <v>19.206134969325156</v>
      </c>
      <c r="Q131" s="21">
        <f t="shared" si="28"/>
        <v>8.954166666666667</v>
      </c>
      <c r="R131" s="21">
        <f t="shared" si="28"/>
        <v>16.283533346448944</v>
      </c>
    </row>
    <row r="144" spans="1:4" ht="15.75">
      <c r="A144" s="121" t="s">
        <v>301</v>
      </c>
      <c r="B144" s="121"/>
      <c r="C144" s="121"/>
      <c r="D144" s="121"/>
    </row>
    <row r="146" spans="1:20" ht="15.75">
      <c r="A146" s="9" t="s">
        <v>18</v>
      </c>
      <c r="B146" s="9" t="s">
        <v>72</v>
      </c>
      <c r="C146" s="9" t="s">
        <v>2</v>
      </c>
      <c r="D146" s="9" t="s">
        <v>3</v>
      </c>
      <c r="E146" s="9" t="s">
        <v>4</v>
      </c>
      <c r="F146" s="9" t="s">
        <v>5</v>
      </c>
      <c r="G146" s="9" t="s">
        <v>6</v>
      </c>
      <c r="H146" s="9" t="s">
        <v>7</v>
      </c>
      <c r="I146" s="9" t="s">
        <v>8</v>
      </c>
      <c r="J146" s="9" t="s">
        <v>9</v>
      </c>
      <c r="K146" s="9" t="s">
        <v>10</v>
      </c>
      <c r="L146" s="9" t="s">
        <v>11</v>
      </c>
      <c r="M146" s="9" t="s">
        <v>12</v>
      </c>
      <c r="N146" s="9" t="s">
        <v>13</v>
      </c>
      <c r="O146" s="9" t="s">
        <v>138</v>
      </c>
      <c r="P146" s="9" t="s">
        <v>15</v>
      </c>
      <c r="Q146" s="9" t="s">
        <v>16</v>
      </c>
      <c r="R146" s="9" t="s">
        <v>243</v>
      </c>
      <c r="S146" s="9" t="s">
        <v>244</v>
      </c>
      <c r="T146" s="10" t="s">
        <v>134</v>
      </c>
    </row>
    <row r="147" spans="1:20" ht="15.75">
      <c r="A147" s="13" t="s">
        <v>219</v>
      </c>
      <c r="B147" s="90">
        <f>41643-40760</f>
        <v>883</v>
      </c>
      <c r="C147" s="91">
        <f>7913-7794</f>
        <v>119</v>
      </c>
      <c r="D147" s="92">
        <f>28539-28410</f>
        <v>129</v>
      </c>
      <c r="E147" s="92">
        <f>17762-16816</f>
        <v>946</v>
      </c>
      <c r="F147" s="92">
        <f>47209-47130</f>
        <v>79</v>
      </c>
      <c r="G147" s="92">
        <f>0</f>
        <v>0</v>
      </c>
      <c r="H147" s="92">
        <f>81808-80890</f>
        <v>918</v>
      </c>
      <c r="I147" s="92">
        <f>10977-9920</f>
        <v>1057</v>
      </c>
      <c r="J147" s="92">
        <f>2711-2622+14685-14457</f>
        <v>317</v>
      </c>
      <c r="K147" s="92">
        <v>1</v>
      </c>
      <c r="L147" s="92">
        <f>31084-28190</f>
        <v>2894</v>
      </c>
      <c r="M147" s="92">
        <f>1</f>
        <v>1</v>
      </c>
      <c r="N147" s="92">
        <f>49323-44528</f>
        <v>4795</v>
      </c>
      <c r="O147" s="92">
        <f>141239-141239</f>
        <v>0</v>
      </c>
      <c r="P147" s="92">
        <f>131019-129906</f>
        <v>1113</v>
      </c>
      <c r="Q147" s="92">
        <f>96323-95672</f>
        <v>651</v>
      </c>
      <c r="R147" s="92">
        <v>0</v>
      </c>
      <c r="S147" s="92">
        <v>0</v>
      </c>
      <c r="T147" s="92">
        <f>SUM(B147:S147)</f>
        <v>13903</v>
      </c>
    </row>
    <row r="148" spans="1:20" ht="15.75">
      <c r="A148" s="13" t="s">
        <v>220</v>
      </c>
      <c r="B148" s="90">
        <f>42443-41643</f>
        <v>800</v>
      </c>
      <c r="C148" s="92">
        <f>8023-7913</f>
        <v>110</v>
      </c>
      <c r="D148" s="91">
        <f>28807-28539</f>
        <v>268</v>
      </c>
      <c r="E148" s="92">
        <f>19561-17762</f>
        <v>1799</v>
      </c>
      <c r="F148" s="92">
        <f>47378-47209</f>
        <v>169</v>
      </c>
      <c r="G148" s="92">
        <v>0</v>
      </c>
      <c r="H148" s="92">
        <f>82434-81808</f>
        <v>626</v>
      </c>
      <c r="I148" s="92">
        <f>11869-10977</f>
        <v>892</v>
      </c>
      <c r="J148" s="92">
        <f>3067-2711+14922-14685</f>
        <v>593</v>
      </c>
      <c r="K148" s="90">
        <v>0</v>
      </c>
      <c r="L148" s="90">
        <f>33703-31084</f>
        <v>2619</v>
      </c>
      <c r="M148" s="92">
        <v>2</v>
      </c>
      <c r="N148" s="92">
        <f>53221-49323</f>
        <v>3898</v>
      </c>
      <c r="O148" s="92">
        <v>0</v>
      </c>
      <c r="P148" s="92">
        <f>131987-131019</f>
        <v>968</v>
      </c>
      <c r="Q148" s="92">
        <f>96818-96323</f>
        <v>495</v>
      </c>
      <c r="R148" s="92">
        <v>0</v>
      </c>
      <c r="S148" s="92">
        <v>0</v>
      </c>
      <c r="T148" s="92">
        <f aca="true" t="shared" si="29" ref="T148:T159">SUM(B148:S148)</f>
        <v>13239</v>
      </c>
    </row>
    <row r="149" spans="1:20" ht="15.75">
      <c r="A149" s="13" t="s">
        <v>221</v>
      </c>
      <c r="B149" s="92">
        <f>43432-42443</f>
        <v>989</v>
      </c>
      <c r="C149" s="92">
        <f>8162-8023</f>
        <v>139</v>
      </c>
      <c r="D149" s="92">
        <f>29345-28807</f>
        <v>538</v>
      </c>
      <c r="E149" s="92">
        <f>22500-19561</f>
        <v>2939</v>
      </c>
      <c r="F149" s="92">
        <f>47590-47378</f>
        <v>212</v>
      </c>
      <c r="G149" s="92">
        <f>0</f>
        <v>0</v>
      </c>
      <c r="H149" s="92">
        <f>83553-82434</f>
        <v>1119</v>
      </c>
      <c r="I149" s="92">
        <f>13317-11869</f>
        <v>1448</v>
      </c>
      <c r="J149" s="92">
        <f>3467-3067+15593-14922</f>
        <v>1071</v>
      </c>
      <c r="K149" s="92">
        <f>0</f>
        <v>0</v>
      </c>
      <c r="L149" s="92">
        <f>37015-33703</f>
        <v>3312</v>
      </c>
      <c r="M149" s="92">
        <v>1</v>
      </c>
      <c r="N149" s="92">
        <f>55270-53221</f>
        <v>2049</v>
      </c>
      <c r="O149" s="92">
        <v>0</v>
      </c>
      <c r="P149" s="92">
        <f>133204-131987</f>
        <v>1217</v>
      </c>
      <c r="Q149" s="92">
        <f>1+870</f>
        <v>871</v>
      </c>
      <c r="R149" s="92">
        <v>0</v>
      </c>
      <c r="S149" s="92">
        <v>0</v>
      </c>
      <c r="T149" s="92">
        <f t="shared" si="29"/>
        <v>15905</v>
      </c>
    </row>
    <row r="150" spans="1:20" ht="15.75">
      <c r="A150" s="13" t="s">
        <v>222</v>
      </c>
      <c r="B150" s="92">
        <f>44415-43432</f>
        <v>983</v>
      </c>
      <c r="C150" s="92">
        <f>8306-8162</f>
        <v>144</v>
      </c>
      <c r="D150" s="92">
        <f>29825-29345</f>
        <v>480</v>
      </c>
      <c r="E150" s="92">
        <f>25628-22500</f>
        <v>3128</v>
      </c>
      <c r="F150" s="92">
        <f>47986-47590</f>
        <v>396</v>
      </c>
      <c r="G150" s="92">
        <v>0</v>
      </c>
      <c r="H150" s="92">
        <f>84635-83553</f>
        <v>1082</v>
      </c>
      <c r="I150" s="92">
        <f>14785-13317</f>
        <v>1468</v>
      </c>
      <c r="J150" s="92">
        <f>3965-3467+16097-15593</f>
        <v>1002</v>
      </c>
      <c r="K150" s="92">
        <v>0</v>
      </c>
      <c r="L150" s="92">
        <f>40252-37015</f>
        <v>3237</v>
      </c>
      <c r="M150" s="92">
        <v>0</v>
      </c>
      <c r="N150" s="92">
        <v>0</v>
      </c>
      <c r="O150" s="92">
        <v>0</v>
      </c>
      <c r="P150" s="92">
        <f>134416-133204</f>
        <v>1212</v>
      </c>
      <c r="Q150" s="92">
        <f>10+875</f>
        <v>885</v>
      </c>
      <c r="R150" s="92">
        <v>0</v>
      </c>
      <c r="S150" s="92">
        <v>0</v>
      </c>
      <c r="T150" s="92">
        <f t="shared" si="29"/>
        <v>14017</v>
      </c>
    </row>
    <row r="151" spans="1:20" ht="15.75">
      <c r="A151" s="13" t="s">
        <v>223</v>
      </c>
      <c r="B151" s="92">
        <f>45412-44415</f>
        <v>997</v>
      </c>
      <c r="C151" s="92">
        <f>8458-8306</f>
        <v>152</v>
      </c>
      <c r="D151" s="92">
        <f>30282-29825</f>
        <v>457</v>
      </c>
      <c r="E151" s="92">
        <f>28911-25628</f>
        <v>3283</v>
      </c>
      <c r="F151" s="92">
        <f>48193-47986</f>
        <v>207</v>
      </c>
      <c r="G151" s="92">
        <v>0</v>
      </c>
      <c r="H151" s="92">
        <f>85730-84635</f>
        <v>1095</v>
      </c>
      <c r="I151" s="92">
        <f>16130-14785</f>
        <v>1345</v>
      </c>
      <c r="J151" s="92">
        <f>4625-3965+16478-16097</f>
        <v>1041</v>
      </c>
      <c r="K151" s="92">
        <v>0</v>
      </c>
      <c r="L151" s="92">
        <f>43792-40252</f>
        <v>3540</v>
      </c>
      <c r="M151" s="92">
        <f>8217-8215</f>
        <v>2</v>
      </c>
      <c r="N151" s="92">
        <v>0</v>
      </c>
      <c r="O151" s="92">
        <v>0</v>
      </c>
      <c r="P151" s="92">
        <f>135638-134416</f>
        <v>1222</v>
      </c>
      <c r="Q151" s="92">
        <f>0</f>
        <v>0</v>
      </c>
      <c r="R151" s="92">
        <v>0</v>
      </c>
      <c r="S151" s="92">
        <v>0</v>
      </c>
      <c r="T151" s="92">
        <f t="shared" si="29"/>
        <v>13341</v>
      </c>
    </row>
    <row r="152" spans="1:20" ht="15.75">
      <c r="A152" s="13" t="s">
        <v>224</v>
      </c>
      <c r="B152" s="92">
        <f>46329-45412</f>
        <v>917</v>
      </c>
      <c r="C152" s="92">
        <f>8605-8458</f>
        <v>147</v>
      </c>
      <c r="D152" s="92">
        <f>30735-30282</f>
        <v>453</v>
      </c>
      <c r="E152" s="92">
        <f>31744-28911</f>
        <v>2833</v>
      </c>
      <c r="F152" s="92">
        <f>48703-48193</f>
        <v>510</v>
      </c>
      <c r="G152" s="92">
        <v>0</v>
      </c>
      <c r="H152" s="92">
        <f>86837-85730</f>
        <v>1107</v>
      </c>
      <c r="I152" s="92">
        <f>17389-16130</f>
        <v>1259</v>
      </c>
      <c r="J152" s="92">
        <f>5133-4625+16939-16478</f>
        <v>969</v>
      </c>
      <c r="K152" s="92">
        <v>0</v>
      </c>
      <c r="L152" s="92">
        <f>47103-43792</f>
        <v>3311</v>
      </c>
      <c r="M152" s="92">
        <f>8219-8217</f>
        <v>2</v>
      </c>
      <c r="N152" s="92">
        <v>0</v>
      </c>
      <c r="O152" s="92">
        <v>0</v>
      </c>
      <c r="P152" s="92">
        <f>136856-135638</f>
        <v>1218</v>
      </c>
      <c r="Q152" s="92">
        <f>100370-99459</f>
        <v>911</v>
      </c>
      <c r="R152" s="92">
        <v>0</v>
      </c>
      <c r="S152" s="92">
        <v>0</v>
      </c>
      <c r="T152" s="92">
        <f t="shared" si="29"/>
        <v>13637</v>
      </c>
    </row>
    <row r="153" spans="1:20" ht="15.75">
      <c r="A153" s="13" t="s">
        <v>225</v>
      </c>
      <c r="B153" s="92">
        <f>47243-46329</f>
        <v>914</v>
      </c>
      <c r="C153" s="92">
        <f>8748-8605</f>
        <v>143</v>
      </c>
      <c r="D153" s="92">
        <f>31044-30735</f>
        <v>309</v>
      </c>
      <c r="E153" s="92">
        <f>32637-31744</f>
        <v>893</v>
      </c>
      <c r="F153" s="92">
        <f>49133-48703</f>
        <v>430</v>
      </c>
      <c r="G153" s="92">
        <v>0</v>
      </c>
      <c r="H153" s="92">
        <f>87338-86837</f>
        <v>501</v>
      </c>
      <c r="I153" s="92">
        <f>19497-17389</f>
        <v>2108</v>
      </c>
      <c r="J153" s="92">
        <f>5418-5133+17255-16939</f>
        <v>601</v>
      </c>
      <c r="K153" s="92">
        <v>0</v>
      </c>
      <c r="L153" s="92">
        <f>50026-47103</f>
        <v>2923</v>
      </c>
      <c r="M153" s="92">
        <v>0</v>
      </c>
      <c r="N153" s="92">
        <v>0</v>
      </c>
      <c r="O153" s="92">
        <v>0</v>
      </c>
      <c r="P153" s="92">
        <f>137899-136856</f>
        <v>1043</v>
      </c>
      <c r="Q153" s="92">
        <v>0</v>
      </c>
      <c r="R153" s="92">
        <f>9111-7227</f>
        <v>1884</v>
      </c>
      <c r="S153" s="92">
        <f>9111-7227</f>
        <v>1884</v>
      </c>
      <c r="T153" s="92">
        <f t="shared" si="29"/>
        <v>13633</v>
      </c>
    </row>
    <row r="154" spans="1:20" ht="15.75">
      <c r="A154" s="13" t="s">
        <v>226</v>
      </c>
      <c r="B154" s="92">
        <f>48146-47243</f>
        <v>903</v>
      </c>
      <c r="C154" s="92">
        <f>8889-8748</f>
        <v>141</v>
      </c>
      <c r="D154" s="92">
        <f>31343-31044</f>
        <v>299</v>
      </c>
      <c r="E154" s="92">
        <f>33212-32637</f>
        <v>575</v>
      </c>
      <c r="F154" s="92">
        <f>49684-49133</f>
        <v>551</v>
      </c>
      <c r="G154" s="92">
        <v>0</v>
      </c>
      <c r="H154" s="92">
        <f>87845-87338</f>
        <v>507</v>
      </c>
      <c r="I154" s="92">
        <v>0</v>
      </c>
      <c r="J154" s="92">
        <f>7284-5418+17255-17255</f>
        <v>1866</v>
      </c>
      <c r="K154" s="92">
        <v>0</v>
      </c>
      <c r="L154" s="92">
        <f>52794-50026</f>
        <v>2768</v>
      </c>
      <c r="M154" s="92">
        <v>0</v>
      </c>
      <c r="N154" s="92">
        <v>0</v>
      </c>
      <c r="O154" s="92">
        <v>0</v>
      </c>
      <c r="P154" s="92">
        <f>138949-137899</f>
        <v>1050</v>
      </c>
      <c r="Q154" s="92">
        <v>11</v>
      </c>
      <c r="R154" s="92">
        <f>101533-100996</f>
        <v>537</v>
      </c>
      <c r="S154" s="92">
        <f>10972-9111</f>
        <v>1861</v>
      </c>
      <c r="T154" s="92">
        <f t="shared" si="29"/>
        <v>11069</v>
      </c>
    </row>
    <row r="155" spans="1:20" ht="15.75">
      <c r="A155" s="13" t="s">
        <v>227</v>
      </c>
      <c r="B155" s="92">
        <f>49079-48146</f>
        <v>933</v>
      </c>
      <c r="C155" s="92">
        <f>9051-8889</f>
        <v>162</v>
      </c>
      <c r="D155" s="92">
        <f>31821-31343</f>
        <v>478</v>
      </c>
      <c r="E155" s="92">
        <f>35592-33212</f>
        <v>2380</v>
      </c>
      <c r="F155" s="92">
        <f>50135-49684</f>
        <v>451</v>
      </c>
      <c r="G155" s="92">
        <v>0</v>
      </c>
      <c r="H155" s="92">
        <f>88887-87845</f>
        <v>1042</v>
      </c>
      <c r="I155" s="92">
        <f>20842-19497</f>
        <v>1345</v>
      </c>
      <c r="J155" s="92">
        <f>7820-7284</f>
        <v>536</v>
      </c>
      <c r="K155" s="92">
        <v>0</v>
      </c>
      <c r="L155" s="92">
        <f>53002-52794</f>
        <v>208</v>
      </c>
      <c r="M155" s="92">
        <v>0</v>
      </c>
      <c r="N155" s="92">
        <v>0</v>
      </c>
      <c r="O155" s="92">
        <v>0</v>
      </c>
      <c r="P155" s="92">
        <f>140180-138949</f>
        <v>1231</v>
      </c>
      <c r="Q155" s="92">
        <f>102332-101533</f>
        <v>799</v>
      </c>
      <c r="R155" s="92">
        <f>12967-10972</f>
        <v>1995</v>
      </c>
      <c r="S155" s="92">
        <f>11621-9843</f>
        <v>1778</v>
      </c>
      <c r="T155" s="92">
        <f t="shared" si="29"/>
        <v>13338</v>
      </c>
    </row>
    <row r="156" spans="1:20" ht="15.75">
      <c r="A156" s="13" t="s">
        <v>228</v>
      </c>
      <c r="B156" s="92">
        <f>49977-49079</f>
        <v>898</v>
      </c>
      <c r="C156" s="92">
        <f>9193-9051</f>
        <v>142</v>
      </c>
      <c r="D156" s="92">
        <f>32298-31821</f>
        <v>477</v>
      </c>
      <c r="E156" s="92">
        <f>38142-35592</f>
        <v>2550</v>
      </c>
      <c r="F156" s="92">
        <f>50553-50135</f>
        <v>418</v>
      </c>
      <c r="G156" s="92">
        <v>959</v>
      </c>
      <c r="H156" s="92">
        <f>90021-88887</f>
        <v>1134</v>
      </c>
      <c r="I156" s="92">
        <f>22187-20842</f>
        <v>1345</v>
      </c>
      <c r="J156" s="92">
        <f>8340-7820</f>
        <v>520</v>
      </c>
      <c r="K156" s="92">
        <v>864</v>
      </c>
      <c r="L156" s="92">
        <f>0</f>
        <v>0</v>
      </c>
      <c r="M156" s="92">
        <v>0</v>
      </c>
      <c r="N156" s="92">
        <v>0</v>
      </c>
      <c r="O156" s="92">
        <v>2051</v>
      </c>
      <c r="P156" s="92">
        <f>141410-140180</f>
        <v>1230</v>
      </c>
      <c r="Q156" s="92">
        <f>103165-102332</f>
        <v>833</v>
      </c>
      <c r="R156" s="92">
        <f>14875-12967</f>
        <v>1908</v>
      </c>
      <c r="S156" s="92">
        <f>13404-11621</f>
        <v>1783</v>
      </c>
      <c r="T156" s="92">
        <f t="shared" si="29"/>
        <v>17112</v>
      </c>
    </row>
    <row r="157" spans="1:20" ht="15.75">
      <c r="A157" s="13" t="s">
        <v>229</v>
      </c>
      <c r="B157" s="92">
        <f>50972-49977</f>
        <v>995</v>
      </c>
      <c r="C157" s="92">
        <f>9371-9193</f>
        <v>178</v>
      </c>
      <c r="D157" s="92">
        <f>32832-32298</f>
        <v>534</v>
      </c>
      <c r="E157" s="92">
        <f>40765-38142</f>
        <v>2623</v>
      </c>
      <c r="F157" s="92">
        <f>52161-50553</f>
        <v>1608</v>
      </c>
      <c r="G157" s="92">
        <f>2217-959</f>
        <v>1258</v>
      </c>
      <c r="H157" s="92">
        <f>91347-90021</f>
        <v>1326</v>
      </c>
      <c r="I157" s="92">
        <f>23690-22187</f>
        <v>1503</v>
      </c>
      <c r="J157" s="92">
        <f>8430-8340+17822-17255</f>
        <v>657</v>
      </c>
      <c r="K157" s="92">
        <f>2033-864</f>
        <v>1169</v>
      </c>
      <c r="L157" s="92">
        <f>0</f>
        <v>0</v>
      </c>
      <c r="M157" s="92">
        <v>0</v>
      </c>
      <c r="N157" s="92">
        <v>0</v>
      </c>
      <c r="O157" s="92">
        <f>4543-2051</f>
        <v>2492</v>
      </c>
      <c r="P157" s="92">
        <f>142750-141410</f>
        <v>1340</v>
      </c>
      <c r="Q157" s="92">
        <f>104170-103165+1</f>
        <v>1006</v>
      </c>
      <c r="R157" s="92">
        <f>15429-13404</f>
        <v>2025</v>
      </c>
      <c r="S157" s="92">
        <f>17041-14875</f>
        <v>2166</v>
      </c>
      <c r="T157" s="92">
        <f t="shared" si="29"/>
        <v>20880</v>
      </c>
    </row>
    <row r="158" spans="1:21" ht="15.75">
      <c r="A158" s="13" t="s">
        <v>230</v>
      </c>
      <c r="B158" s="92">
        <f>52033-50972</f>
        <v>1061</v>
      </c>
      <c r="C158" s="92">
        <f>9524-9371</f>
        <v>153</v>
      </c>
      <c r="D158" s="92">
        <f>33389-32832</f>
        <v>557</v>
      </c>
      <c r="E158" s="92">
        <f>43924-40765</f>
        <v>3159</v>
      </c>
      <c r="F158" s="92">
        <f>52470-52161</f>
        <v>309</v>
      </c>
      <c r="G158" s="92">
        <f>3484-2217</f>
        <v>1267</v>
      </c>
      <c r="H158" s="92">
        <f>92678-91347</f>
        <v>1331</v>
      </c>
      <c r="I158" s="92">
        <f>25220-23690</f>
        <v>1530</v>
      </c>
      <c r="J158" s="92">
        <f>8501-8430+19058-17822</f>
        <v>1307</v>
      </c>
      <c r="K158" s="92">
        <f>3240-2033</f>
        <v>1207</v>
      </c>
      <c r="L158" s="92">
        <v>0</v>
      </c>
      <c r="M158" s="92">
        <v>0</v>
      </c>
      <c r="N158" s="92">
        <v>0</v>
      </c>
      <c r="O158" s="92">
        <f>7124-4543</f>
        <v>2581</v>
      </c>
      <c r="P158" s="92">
        <f>144092-142750</f>
        <v>1342</v>
      </c>
      <c r="Q158" s="92">
        <f>105175-104170</f>
        <v>1005</v>
      </c>
      <c r="R158" s="92">
        <f>17376-15429</f>
        <v>1947</v>
      </c>
      <c r="S158" s="92">
        <f>19204-17041</f>
        <v>2163</v>
      </c>
      <c r="T158" s="92">
        <f t="shared" si="29"/>
        <v>20919</v>
      </c>
      <c r="U158" s="8" t="s">
        <v>245</v>
      </c>
    </row>
    <row r="159" spans="1:20" ht="15.75">
      <c r="A159" s="89" t="s">
        <v>74</v>
      </c>
      <c r="B159" s="71">
        <f aca="true" t="shared" si="30" ref="B159:S159">SUM(B147:B158)</f>
        <v>11273</v>
      </c>
      <c r="C159" s="71">
        <f t="shared" si="30"/>
        <v>1730</v>
      </c>
      <c r="D159" s="71">
        <f t="shared" si="30"/>
        <v>4979</v>
      </c>
      <c r="E159" s="71">
        <f t="shared" si="30"/>
        <v>27108</v>
      </c>
      <c r="F159" s="71">
        <f t="shared" si="30"/>
        <v>5340</v>
      </c>
      <c r="G159" s="71">
        <f t="shared" si="30"/>
        <v>3484</v>
      </c>
      <c r="H159" s="71">
        <f t="shared" si="30"/>
        <v>11788</v>
      </c>
      <c r="I159" s="71">
        <f t="shared" si="30"/>
        <v>15300</v>
      </c>
      <c r="J159" s="71">
        <f t="shared" si="30"/>
        <v>10480</v>
      </c>
      <c r="K159" s="71">
        <f t="shared" si="30"/>
        <v>3241</v>
      </c>
      <c r="L159" s="71">
        <f t="shared" si="30"/>
        <v>24812</v>
      </c>
      <c r="M159" s="71">
        <f t="shared" si="30"/>
        <v>8</v>
      </c>
      <c r="N159" s="71">
        <f t="shared" si="30"/>
        <v>10742</v>
      </c>
      <c r="O159" s="71">
        <f t="shared" si="30"/>
        <v>7124</v>
      </c>
      <c r="P159" s="71">
        <f t="shared" si="30"/>
        <v>14186</v>
      </c>
      <c r="Q159" s="71">
        <f t="shared" si="30"/>
        <v>7467</v>
      </c>
      <c r="R159" s="71">
        <f t="shared" si="30"/>
        <v>10296</v>
      </c>
      <c r="S159" s="71">
        <f t="shared" si="30"/>
        <v>11635</v>
      </c>
      <c r="T159" s="94">
        <f t="shared" si="29"/>
        <v>180993</v>
      </c>
    </row>
    <row r="160" spans="1:20" ht="15.75">
      <c r="A160" s="88" t="s">
        <v>295</v>
      </c>
      <c r="B160" s="85">
        <f>B159/12</f>
        <v>939.4166666666666</v>
      </c>
      <c r="C160" s="85">
        <f>C159/12</f>
        <v>144.16666666666666</v>
      </c>
      <c r="D160" s="85">
        <f>D159/12</f>
        <v>414.9166666666667</v>
      </c>
      <c r="E160" s="85">
        <f>E159/12</f>
        <v>2259</v>
      </c>
      <c r="F160" s="85">
        <f>F159/12</f>
        <v>445</v>
      </c>
      <c r="G160" s="72">
        <f>G159/3</f>
        <v>1161.3333333333333</v>
      </c>
      <c r="H160" s="85">
        <f>H159/12</f>
        <v>982.3333333333334</v>
      </c>
      <c r="I160" s="85">
        <f>I159/11</f>
        <v>1390.909090909091</v>
      </c>
      <c r="J160" s="85">
        <f>J159/12</f>
        <v>873.3333333333334</v>
      </c>
      <c r="K160" s="85">
        <f>K159/4</f>
        <v>810.25</v>
      </c>
      <c r="L160" s="85">
        <f>L159/9</f>
        <v>2756.8888888888887</v>
      </c>
      <c r="M160" s="85">
        <f>M159/5</f>
        <v>1.6</v>
      </c>
      <c r="N160" s="85">
        <f>N159/3</f>
        <v>3580.6666666666665</v>
      </c>
      <c r="O160" s="85">
        <f>O159/3</f>
        <v>2374.6666666666665</v>
      </c>
      <c r="P160" s="85">
        <f>P159/12</f>
        <v>1182.1666666666667</v>
      </c>
      <c r="Q160" s="85">
        <f>Q159/10</f>
        <v>746.7</v>
      </c>
      <c r="R160" s="85">
        <f>R159/6</f>
        <v>1716</v>
      </c>
      <c r="S160" s="85">
        <f>S159/6</f>
        <v>1939.1666666666667</v>
      </c>
      <c r="T160" s="85">
        <f>T159/12</f>
        <v>15082.75</v>
      </c>
    </row>
    <row r="161" spans="1:20" ht="15.75">
      <c r="A161" s="82" t="s">
        <v>297</v>
      </c>
      <c r="B161" s="86">
        <f>B160/(83+121)</f>
        <v>4.604983660130719</v>
      </c>
      <c r="C161" s="86">
        <f>C160/45</f>
        <v>3.2037037037037033</v>
      </c>
      <c r="D161" s="86">
        <f>D160/199</f>
        <v>2.08500837520938</v>
      </c>
      <c r="E161" s="86">
        <f>E160/300</f>
        <v>7.53</v>
      </c>
      <c r="F161" s="86">
        <f>F160/357</f>
        <v>1.246498599439776</v>
      </c>
      <c r="G161" s="86">
        <f>G160/372</f>
        <v>3.1218637992831537</v>
      </c>
      <c r="H161" s="86">
        <f>H160/314</f>
        <v>3.128450106157113</v>
      </c>
      <c r="I161" s="86">
        <f>I160/(102+124+124)</f>
        <v>3.9740259740259742</v>
      </c>
      <c r="J161" s="86">
        <f>J160/297</f>
        <v>2.940516273849607</v>
      </c>
      <c r="K161" s="86">
        <f>K160/285</f>
        <v>2.842982456140351</v>
      </c>
      <c r="L161" s="86">
        <f>L160/448</f>
        <v>6.153769841269841</v>
      </c>
      <c r="M161" s="86">
        <f>M160/126</f>
        <v>0.012698412698412698</v>
      </c>
      <c r="N161" s="86">
        <f>N160/(232+310+232)</f>
        <v>4.626184323858742</v>
      </c>
      <c r="O161" s="86">
        <f>O160/(328+165)</f>
        <v>4.816768086544963</v>
      </c>
      <c r="P161" s="86">
        <f>P160/317</f>
        <v>3.729232386961094</v>
      </c>
      <c r="Q161" s="86">
        <f>Q160/194</f>
        <v>3.8489690721649485</v>
      </c>
      <c r="R161" s="86">
        <f>R160/(124+124+120+96)</f>
        <v>3.6982758620689653</v>
      </c>
      <c r="S161" s="86">
        <f>S160/(124+124+120+96)</f>
        <v>4.179238505747127</v>
      </c>
      <c r="T161" s="86">
        <f>T160/6003</f>
        <v>2.512535398967183</v>
      </c>
    </row>
    <row r="162" spans="1:20" ht="15.75">
      <c r="A162" s="78" t="s">
        <v>299</v>
      </c>
      <c r="B162" s="86">
        <v>15.3</v>
      </c>
      <c r="C162" s="86">
        <v>15.3</v>
      </c>
      <c r="D162" s="86">
        <v>15.3</v>
      </c>
      <c r="E162" s="86">
        <v>15.3</v>
      </c>
      <c r="F162" s="86">
        <v>15.3</v>
      </c>
      <c r="G162" s="86">
        <v>15.3</v>
      </c>
      <c r="H162" s="86">
        <v>15.3</v>
      </c>
      <c r="I162" s="86">
        <v>15.3</v>
      </c>
      <c r="J162" s="86">
        <v>15.3</v>
      </c>
      <c r="K162" s="86">
        <v>15.3</v>
      </c>
      <c r="L162" s="86">
        <v>15.3</v>
      </c>
      <c r="M162" s="86">
        <v>15.3</v>
      </c>
      <c r="N162" s="86">
        <v>15.3</v>
      </c>
      <c r="O162" s="86">
        <v>15.3</v>
      </c>
      <c r="P162" s="86">
        <v>15.3</v>
      </c>
      <c r="Q162" s="86">
        <v>15.3</v>
      </c>
      <c r="R162" s="86">
        <v>15.3</v>
      </c>
      <c r="S162" s="86">
        <v>15.3</v>
      </c>
      <c r="T162" s="86">
        <v>15.3</v>
      </c>
    </row>
    <row r="163" spans="1:20" ht="15.75">
      <c r="A163" s="82" t="s">
        <v>298</v>
      </c>
      <c r="B163" s="86">
        <f>B161*B162</f>
        <v>70.45625</v>
      </c>
      <c r="C163" s="86">
        <f aca="true" t="shared" si="31" ref="C163:T163">C161*C162</f>
        <v>49.016666666666666</v>
      </c>
      <c r="D163" s="86">
        <f t="shared" si="31"/>
        <v>31.900628140703517</v>
      </c>
      <c r="E163" s="86">
        <f t="shared" si="31"/>
        <v>115.209</v>
      </c>
      <c r="F163" s="86">
        <f t="shared" si="31"/>
        <v>19.071428571428573</v>
      </c>
      <c r="G163" s="86">
        <f t="shared" si="31"/>
        <v>47.76451612903225</v>
      </c>
      <c r="H163" s="86">
        <f t="shared" si="31"/>
        <v>47.865286624203826</v>
      </c>
      <c r="I163" s="86">
        <f t="shared" si="31"/>
        <v>60.80259740259741</v>
      </c>
      <c r="J163" s="86">
        <f t="shared" si="31"/>
        <v>44.98989898989899</v>
      </c>
      <c r="K163" s="86">
        <f t="shared" si="31"/>
        <v>43.49763157894737</v>
      </c>
      <c r="L163" s="86">
        <f t="shared" si="31"/>
        <v>94.15267857142857</v>
      </c>
      <c r="M163" s="86">
        <f t="shared" si="31"/>
        <v>0.19428571428571428</v>
      </c>
      <c r="N163" s="86">
        <f t="shared" si="31"/>
        <v>70.78062015503876</v>
      </c>
      <c r="O163" s="86">
        <f t="shared" si="31"/>
        <v>73.69655172413793</v>
      </c>
      <c r="P163" s="86">
        <f t="shared" si="31"/>
        <v>57.05725552050474</v>
      </c>
      <c r="Q163" s="86">
        <f t="shared" si="31"/>
        <v>58.889226804123716</v>
      </c>
      <c r="R163" s="86">
        <f t="shared" si="31"/>
        <v>56.58362068965517</v>
      </c>
      <c r="S163" s="86">
        <f t="shared" si="31"/>
        <v>63.94234913793104</v>
      </c>
      <c r="T163" s="86">
        <f t="shared" si="31"/>
        <v>38.4417916041979</v>
      </c>
    </row>
    <row r="164" spans="1:20" ht="22.5">
      <c r="A164" s="79" t="s">
        <v>296</v>
      </c>
      <c r="B164" s="87">
        <f>B163*12/2.5</f>
        <v>338.18999999999994</v>
      </c>
      <c r="C164" s="87">
        <f aca="true" t="shared" si="32" ref="C164:T164">C163*12/2.5</f>
        <v>235.28000000000003</v>
      </c>
      <c r="D164" s="87">
        <f t="shared" si="32"/>
        <v>153.12301507537688</v>
      </c>
      <c r="E164" s="87">
        <f t="shared" si="32"/>
        <v>553.0032</v>
      </c>
      <c r="F164" s="87">
        <f t="shared" si="32"/>
        <v>91.54285714285716</v>
      </c>
      <c r="G164" s="87">
        <f t="shared" si="32"/>
        <v>229.26967741935482</v>
      </c>
      <c r="H164" s="87">
        <f t="shared" si="32"/>
        <v>229.75337579617835</v>
      </c>
      <c r="I164" s="87">
        <f t="shared" si="32"/>
        <v>291.8524675324676</v>
      </c>
      <c r="J164" s="87">
        <f t="shared" si="32"/>
        <v>215.95151515151514</v>
      </c>
      <c r="K164" s="87">
        <f t="shared" si="32"/>
        <v>208.7886315789474</v>
      </c>
      <c r="L164" s="87">
        <f t="shared" si="32"/>
        <v>451.93285714285713</v>
      </c>
      <c r="M164" s="87">
        <f t="shared" si="32"/>
        <v>0.9325714285714286</v>
      </c>
      <c r="N164" s="87">
        <f t="shared" si="32"/>
        <v>339.74697674418604</v>
      </c>
      <c r="O164" s="87">
        <f t="shared" si="32"/>
        <v>353.7434482758621</v>
      </c>
      <c r="P164" s="87">
        <f t="shared" si="32"/>
        <v>273.87482649842275</v>
      </c>
      <c r="Q164" s="87">
        <f t="shared" si="32"/>
        <v>282.6682886597938</v>
      </c>
      <c r="R164" s="87">
        <f t="shared" si="32"/>
        <v>271.60137931034484</v>
      </c>
      <c r="S164" s="87">
        <f t="shared" si="32"/>
        <v>306.923275862069</v>
      </c>
      <c r="T164" s="95">
        <f t="shared" si="32"/>
        <v>184.52059970014994</v>
      </c>
    </row>
    <row r="165" ht="15.75">
      <c r="A165" s="69"/>
    </row>
    <row r="166" ht="15.75">
      <c r="A166" s="69"/>
    </row>
    <row r="167" ht="15.75">
      <c r="A167" s="69"/>
    </row>
    <row r="168" ht="15.75">
      <c r="A168" s="69"/>
    </row>
    <row r="169" spans="1:20" ht="15.75">
      <c r="A169" s="9" t="s">
        <v>18</v>
      </c>
      <c r="B169" s="9" t="s">
        <v>72</v>
      </c>
      <c r="C169" s="9" t="s">
        <v>2</v>
      </c>
      <c r="D169" s="9" t="s">
        <v>3</v>
      </c>
      <c r="E169" s="9" t="s">
        <v>4</v>
      </c>
      <c r="F169" s="9" t="s">
        <v>5</v>
      </c>
      <c r="G169" s="9" t="s">
        <v>6</v>
      </c>
      <c r="H169" s="9" t="s">
        <v>7</v>
      </c>
      <c r="I169" s="9" t="s">
        <v>8</v>
      </c>
      <c r="J169" s="9" t="s">
        <v>9</v>
      </c>
      <c r="K169" s="9" t="s">
        <v>10</v>
      </c>
      <c r="L169" s="9" t="s">
        <v>11</v>
      </c>
      <c r="M169" s="9" t="s">
        <v>12</v>
      </c>
      <c r="N169" s="9" t="s">
        <v>13</v>
      </c>
      <c r="O169" s="9" t="s">
        <v>138</v>
      </c>
      <c r="P169" s="9" t="s">
        <v>15</v>
      </c>
      <c r="Q169" s="9" t="s">
        <v>16</v>
      </c>
      <c r="R169" s="9" t="s">
        <v>243</v>
      </c>
      <c r="S169" s="9" t="s">
        <v>244</v>
      </c>
      <c r="T169" s="10" t="s">
        <v>134</v>
      </c>
    </row>
    <row r="170" spans="1:20" ht="15.75">
      <c r="A170" s="13" t="s">
        <v>246</v>
      </c>
      <c r="B170" s="90">
        <f>53124-52033</f>
        <v>1091</v>
      </c>
      <c r="C170" s="92">
        <f>9702-9524</f>
        <v>178</v>
      </c>
      <c r="D170" s="92">
        <f>33862-33389</f>
        <v>473</v>
      </c>
      <c r="E170" s="92">
        <f>46647-43924</f>
        <v>2723</v>
      </c>
      <c r="F170" s="92">
        <f>52851-52470</f>
        <v>381</v>
      </c>
      <c r="G170" s="92">
        <f>4728-3484</f>
        <v>1244</v>
      </c>
      <c r="H170" s="92">
        <f>93779-92678</f>
        <v>1101</v>
      </c>
      <c r="I170" s="92">
        <f>26626-25220</f>
        <v>1406</v>
      </c>
      <c r="J170" s="92">
        <f>8652-8501+19918-19058</f>
        <v>1011</v>
      </c>
      <c r="K170" s="92">
        <f>4266-3240</f>
        <v>1026</v>
      </c>
      <c r="L170" s="92">
        <f>0</f>
        <v>0</v>
      </c>
      <c r="M170" s="92">
        <v>0</v>
      </c>
      <c r="N170" s="92">
        <v>0</v>
      </c>
      <c r="O170" s="92">
        <f>9413-7124</f>
        <v>2289</v>
      </c>
      <c r="P170" s="92">
        <f>145439-144092</f>
        <v>1347</v>
      </c>
      <c r="Q170" s="92">
        <f>106051-105175</f>
        <v>876</v>
      </c>
      <c r="R170" s="92">
        <f>19355-17376</f>
        <v>1979</v>
      </c>
      <c r="S170" s="92">
        <f>21419-19204</f>
        <v>2215</v>
      </c>
      <c r="T170" s="92">
        <f aca="true" t="shared" si="33" ref="T170:T175">SUM(B170:S170)</f>
        <v>19340</v>
      </c>
    </row>
    <row r="171" spans="1:20" ht="15.75">
      <c r="A171" s="13" t="s">
        <v>247</v>
      </c>
      <c r="B171" s="92">
        <f>53775-53124</f>
        <v>651</v>
      </c>
      <c r="C171" s="92">
        <f>9813-9702</f>
        <v>111</v>
      </c>
      <c r="D171" s="92">
        <f>34076-33862</f>
        <v>214</v>
      </c>
      <c r="E171" s="92">
        <f>47854-46647</f>
        <v>1207</v>
      </c>
      <c r="F171" s="92">
        <f>53334-52851</f>
        <v>483</v>
      </c>
      <c r="G171" s="92">
        <f>5407-4728</f>
        <v>679</v>
      </c>
      <c r="H171" s="92">
        <f>94280-93779</f>
        <v>501</v>
      </c>
      <c r="I171" s="92">
        <f>27339-26626</f>
        <v>713</v>
      </c>
      <c r="J171" s="92">
        <f>8724-8652+20329-19918</f>
        <v>483</v>
      </c>
      <c r="K171" s="92">
        <f>4688-4266</f>
        <v>422</v>
      </c>
      <c r="L171" s="92">
        <v>0</v>
      </c>
      <c r="M171" s="92">
        <v>0</v>
      </c>
      <c r="N171" s="92">
        <v>0</v>
      </c>
      <c r="O171" s="92">
        <f>10155-9413</f>
        <v>742</v>
      </c>
      <c r="P171" s="92">
        <f>146198-145439</f>
        <v>759</v>
      </c>
      <c r="Q171" s="92">
        <f>106573-106051</f>
        <v>522</v>
      </c>
      <c r="R171" s="92">
        <f>20470-19355</f>
        <v>1115</v>
      </c>
      <c r="S171" s="92">
        <f>22646-21419</f>
        <v>1227</v>
      </c>
      <c r="T171" s="92">
        <f t="shared" si="33"/>
        <v>9829</v>
      </c>
    </row>
    <row r="172" spans="1:20" ht="15.75">
      <c r="A172" s="13" t="s">
        <v>248</v>
      </c>
      <c r="B172" s="92">
        <f>54784-53775</f>
        <v>1009</v>
      </c>
      <c r="C172" s="92">
        <f>9989-9813</f>
        <v>176</v>
      </c>
      <c r="D172" s="92">
        <f>34625-34076</f>
        <v>549</v>
      </c>
      <c r="E172" s="92">
        <f>50799-47854</f>
        <v>2945</v>
      </c>
      <c r="F172" s="92">
        <f>53972-53334</f>
        <v>638</v>
      </c>
      <c r="G172" s="92">
        <f>6513-5407</f>
        <v>1106</v>
      </c>
      <c r="H172" s="92">
        <f>95522-94280</f>
        <v>1242</v>
      </c>
      <c r="I172" s="92">
        <f>28955-27339</f>
        <v>1616</v>
      </c>
      <c r="J172" s="92">
        <f>8896-8724+21345-20329</f>
        <v>1188</v>
      </c>
      <c r="K172" s="92">
        <f>5793-4688</f>
        <v>1105</v>
      </c>
      <c r="L172" s="92">
        <v>0</v>
      </c>
      <c r="M172" s="92">
        <v>0</v>
      </c>
      <c r="N172" s="92">
        <v>0</v>
      </c>
      <c r="O172" s="92">
        <f>12539-10155</f>
        <v>2384</v>
      </c>
      <c r="P172" s="92">
        <f>147431-146198</f>
        <v>1233</v>
      </c>
      <c r="Q172" s="92">
        <f>107495-106573</f>
        <v>922</v>
      </c>
      <c r="R172" s="92">
        <f>22412-20470</f>
        <v>1942</v>
      </c>
      <c r="S172" s="92">
        <f>24695-22646</f>
        <v>2049</v>
      </c>
      <c r="T172" s="92">
        <f t="shared" si="33"/>
        <v>20104</v>
      </c>
    </row>
    <row r="173" spans="1:20" ht="15.75">
      <c r="A173" s="13" t="s">
        <v>249</v>
      </c>
      <c r="B173" s="92">
        <f>55840-54784</f>
        <v>1056</v>
      </c>
      <c r="C173" s="92">
        <f>10173-9989</f>
        <v>184</v>
      </c>
      <c r="D173" s="92">
        <f>35178-34625</f>
        <v>553</v>
      </c>
      <c r="E173" s="92">
        <f>53576-50799</f>
        <v>2777</v>
      </c>
      <c r="F173" s="92">
        <f>54743-53972</f>
        <v>771</v>
      </c>
      <c r="G173" s="92">
        <f>7622-6513</f>
        <v>1109</v>
      </c>
      <c r="H173" s="92">
        <f>96764-95522</f>
        <v>1242</v>
      </c>
      <c r="I173" s="92">
        <f>30606-28955</f>
        <v>1651</v>
      </c>
      <c r="J173" s="92">
        <f>9026+22257-8896-21345</f>
        <v>1042</v>
      </c>
      <c r="K173" s="92">
        <f>6866-5793</f>
        <v>1073</v>
      </c>
      <c r="L173" s="92">
        <v>0</v>
      </c>
      <c r="M173" s="92">
        <v>0</v>
      </c>
      <c r="N173" s="92">
        <v>0</v>
      </c>
      <c r="O173" s="92">
        <f>14920-12539</f>
        <v>2381</v>
      </c>
      <c r="P173" s="92">
        <f>148059-147431</f>
        <v>628</v>
      </c>
      <c r="Q173" s="92">
        <f>108454-107495</f>
        <v>959</v>
      </c>
      <c r="R173" s="92">
        <f>24372-22412</f>
        <v>1960</v>
      </c>
      <c r="S173" s="92">
        <f>26750-24695</f>
        <v>2055</v>
      </c>
      <c r="T173" s="92">
        <f t="shared" si="33"/>
        <v>19441</v>
      </c>
    </row>
    <row r="174" spans="1:20" ht="15.75">
      <c r="A174" s="13" t="s">
        <v>250</v>
      </c>
      <c r="B174" s="92">
        <f>56920-55840</f>
        <v>1080</v>
      </c>
      <c r="C174" s="92">
        <f>10351-10173</f>
        <v>178</v>
      </c>
      <c r="D174" s="92">
        <f>35753-35178</f>
        <v>575</v>
      </c>
      <c r="E174" s="92">
        <f>56176-53576</f>
        <v>2600</v>
      </c>
      <c r="F174" s="92">
        <f>55837-54743</f>
        <v>1094</v>
      </c>
      <c r="G174" s="92">
        <f>8704-7622</f>
        <v>1082</v>
      </c>
      <c r="H174" s="92">
        <f>98073-96764</f>
        <v>1309</v>
      </c>
      <c r="I174" s="92">
        <f>32231-30606</f>
        <v>1625</v>
      </c>
      <c r="J174" s="92">
        <f>9238+22982-9026-22257</f>
        <v>937</v>
      </c>
      <c r="K174" s="92">
        <f>8082-6866</f>
        <v>1216</v>
      </c>
      <c r="L174" s="92">
        <v>0</v>
      </c>
      <c r="M174" s="92">
        <v>0</v>
      </c>
      <c r="N174" s="92">
        <v>0</v>
      </c>
      <c r="O174" s="92">
        <f>17302-14920</f>
        <v>2382</v>
      </c>
      <c r="P174" s="92">
        <f>149959-148059</f>
        <v>1900</v>
      </c>
      <c r="Q174" s="92">
        <f>109289-108454</f>
        <v>835</v>
      </c>
      <c r="R174" s="92">
        <f>26333-24372</f>
        <v>1961</v>
      </c>
      <c r="S174" s="92">
        <f>28884-26750</f>
        <v>2134</v>
      </c>
      <c r="T174" s="92">
        <f t="shared" si="33"/>
        <v>20908</v>
      </c>
    </row>
    <row r="175" spans="1:20" ht="15.75">
      <c r="A175" s="13" t="s">
        <v>251</v>
      </c>
      <c r="B175" s="92">
        <f>57898-56920</f>
        <v>978</v>
      </c>
      <c r="C175" s="92">
        <f>10502-10351</f>
        <v>151</v>
      </c>
      <c r="D175" s="92">
        <f>36258-35753</f>
        <v>505</v>
      </c>
      <c r="E175" s="92">
        <f>58672-56176</f>
        <v>2496</v>
      </c>
      <c r="F175" s="92">
        <f>56786-55837</f>
        <v>949</v>
      </c>
      <c r="G175" s="92">
        <f>9697-8704</f>
        <v>993</v>
      </c>
      <c r="H175" s="92">
        <f>99265-98073</f>
        <v>1192</v>
      </c>
      <c r="I175" s="92">
        <f>33603-32231</f>
        <v>1372</v>
      </c>
      <c r="J175" s="92">
        <f>9331+23179-9238-22982</f>
        <v>290</v>
      </c>
      <c r="K175" s="92">
        <f>9162-8082</f>
        <v>1080</v>
      </c>
      <c r="L175" s="92">
        <v>2194</v>
      </c>
      <c r="M175" s="92">
        <v>0</v>
      </c>
      <c r="N175" s="92">
        <v>6223</v>
      </c>
      <c r="O175" s="92">
        <f>19375-17302</f>
        <v>2073</v>
      </c>
      <c r="P175" s="92">
        <f>151125-149959</f>
        <v>1166</v>
      </c>
      <c r="Q175" s="92">
        <f>110249-109289</f>
        <v>960</v>
      </c>
      <c r="R175" s="92">
        <f>28139-26333</f>
        <v>1806</v>
      </c>
      <c r="S175" s="92">
        <f>30897-28884</f>
        <v>2013</v>
      </c>
      <c r="T175" s="92">
        <f t="shared" si="33"/>
        <v>26441</v>
      </c>
    </row>
    <row r="176" spans="1:20" ht="15.75">
      <c r="A176" s="13" t="s">
        <v>252</v>
      </c>
      <c r="B176" s="92">
        <v>950</v>
      </c>
      <c r="C176" s="92">
        <v>141</v>
      </c>
      <c r="D176" s="92">
        <v>257</v>
      </c>
      <c r="E176" s="92">
        <v>982</v>
      </c>
      <c r="F176" s="92">
        <v>508</v>
      </c>
      <c r="G176" s="92">
        <v>920</v>
      </c>
      <c r="H176" s="92">
        <v>548</v>
      </c>
      <c r="I176" s="92">
        <v>781</v>
      </c>
      <c r="J176" s="92">
        <v>120</v>
      </c>
      <c r="K176" s="92">
        <v>300</v>
      </c>
      <c r="L176" s="92">
        <v>2079</v>
      </c>
      <c r="M176" s="92">
        <v>0</v>
      </c>
      <c r="N176" s="92">
        <v>5170</v>
      </c>
      <c r="O176" s="92">
        <v>1146</v>
      </c>
      <c r="P176" s="92">
        <v>981</v>
      </c>
      <c r="Q176" s="92">
        <v>945</v>
      </c>
      <c r="R176" s="92">
        <v>1502</v>
      </c>
      <c r="S176" s="92">
        <v>2051</v>
      </c>
      <c r="T176" s="92">
        <f aca="true" t="shared" si="34" ref="T176:T182">SUM(B176:S176)</f>
        <v>19381</v>
      </c>
    </row>
    <row r="177" spans="1:20" ht="15.75">
      <c r="A177" s="13" t="s">
        <v>253</v>
      </c>
      <c r="B177" s="92">
        <v>993</v>
      </c>
      <c r="C177" s="92">
        <v>160</v>
      </c>
      <c r="D177" s="92">
        <v>303</v>
      </c>
      <c r="E177" s="92">
        <v>846</v>
      </c>
      <c r="F177" s="92">
        <v>764</v>
      </c>
      <c r="G177" s="92">
        <v>1286</v>
      </c>
      <c r="H177" s="92">
        <v>527</v>
      </c>
      <c r="I177" s="92">
        <v>869</v>
      </c>
      <c r="J177" s="92">
        <v>31</v>
      </c>
      <c r="K177" s="92">
        <v>471</v>
      </c>
      <c r="L177" s="92">
        <v>1899</v>
      </c>
      <c r="M177" s="92">
        <v>0</v>
      </c>
      <c r="N177" s="92">
        <v>5889</v>
      </c>
      <c r="O177" s="92">
        <v>1080</v>
      </c>
      <c r="P177" s="92">
        <v>1068</v>
      </c>
      <c r="Q177" s="92">
        <v>1474</v>
      </c>
      <c r="R177" s="92">
        <v>1589</v>
      </c>
      <c r="S177" s="92">
        <v>2301</v>
      </c>
      <c r="T177" s="92">
        <f t="shared" si="34"/>
        <v>21550</v>
      </c>
    </row>
    <row r="178" spans="1:20" ht="15.75">
      <c r="A178" s="13" t="s">
        <v>254</v>
      </c>
      <c r="B178" s="92">
        <v>940</v>
      </c>
      <c r="C178" s="92">
        <v>140</v>
      </c>
      <c r="D178" s="92">
        <v>437</v>
      </c>
      <c r="E178" s="92">
        <v>1599</v>
      </c>
      <c r="F178" s="92">
        <v>1367</v>
      </c>
      <c r="G178" s="92">
        <v>6</v>
      </c>
      <c r="H178" s="92">
        <v>1020</v>
      </c>
      <c r="I178" s="92">
        <v>1203</v>
      </c>
      <c r="J178" s="92">
        <v>9</v>
      </c>
      <c r="K178" s="92">
        <v>703</v>
      </c>
      <c r="L178" s="92">
        <v>1868</v>
      </c>
      <c r="M178" s="92">
        <v>0</v>
      </c>
      <c r="N178" s="92">
        <v>7308</v>
      </c>
      <c r="O178" s="92">
        <v>1761</v>
      </c>
      <c r="P178" s="92">
        <v>1152</v>
      </c>
      <c r="Q178" s="92">
        <v>3717</v>
      </c>
      <c r="R178" s="92">
        <v>1672</v>
      </c>
      <c r="S178" s="92">
        <v>2179</v>
      </c>
      <c r="T178" s="92">
        <f t="shared" si="34"/>
        <v>27081</v>
      </c>
    </row>
    <row r="179" spans="1:20" ht="15.75">
      <c r="A179" s="13" t="s">
        <v>255</v>
      </c>
      <c r="B179" s="92">
        <v>1051</v>
      </c>
      <c r="C179" s="92">
        <v>159</v>
      </c>
      <c r="D179" s="92">
        <v>586</v>
      </c>
      <c r="E179" s="92">
        <v>3266</v>
      </c>
      <c r="F179" s="92">
        <v>510</v>
      </c>
      <c r="G179" s="92">
        <v>0</v>
      </c>
      <c r="H179" s="92">
        <v>0</v>
      </c>
      <c r="I179" s="92">
        <v>1766</v>
      </c>
      <c r="J179" s="92">
        <v>17</v>
      </c>
      <c r="K179" s="92">
        <v>1010</v>
      </c>
      <c r="L179" s="92">
        <v>2144</v>
      </c>
      <c r="M179" s="92">
        <v>0</v>
      </c>
      <c r="N179" s="92">
        <v>8483</v>
      </c>
      <c r="O179" s="92">
        <v>2500</v>
      </c>
      <c r="P179" s="92">
        <v>1446</v>
      </c>
      <c r="Q179" s="92">
        <v>3662</v>
      </c>
      <c r="R179" s="92">
        <v>2027</v>
      </c>
      <c r="S179" s="92">
        <v>2516</v>
      </c>
      <c r="T179" s="92">
        <f t="shared" si="34"/>
        <v>31143</v>
      </c>
    </row>
    <row r="180" spans="1:20" ht="15.75">
      <c r="A180" s="13" t="s">
        <v>256</v>
      </c>
      <c r="B180" s="92">
        <v>994</v>
      </c>
      <c r="C180" s="92">
        <v>142</v>
      </c>
      <c r="D180" s="92">
        <v>594</v>
      </c>
      <c r="E180" s="92">
        <v>3197</v>
      </c>
      <c r="F180" s="92">
        <v>609</v>
      </c>
      <c r="G180" s="92">
        <v>0</v>
      </c>
      <c r="H180" s="92">
        <v>2552</v>
      </c>
      <c r="I180" s="92">
        <v>1337</v>
      </c>
      <c r="J180" s="92">
        <f>16+1291</f>
        <v>1307</v>
      </c>
      <c r="K180" s="92">
        <v>994</v>
      </c>
      <c r="L180" s="92">
        <v>1987</v>
      </c>
      <c r="M180" s="92">
        <v>0</v>
      </c>
      <c r="N180" s="92">
        <v>7937</v>
      </c>
      <c r="O180" s="92">
        <v>2477</v>
      </c>
      <c r="P180" s="92">
        <v>1980</v>
      </c>
      <c r="Q180" s="92">
        <v>5276</v>
      </c>
      <c r="R180" s="92">
        <v>2008</v>
      </c>
      <c r="S180" s="92">
        <v>2332</v>
      </c>
      <c r="T180" s="92">
        <f t="shared" si="34"/>
        <v>35723</v>
      </c>
    </row>
    <row r="181" spans="1:20" ht="15.75">
      <c r="A181" s="13" t="s">
        <v>257</v>
      </c>
      <c r="B181" s="92">
        <v>1020</v>
      </c>
      <c r="C181" s="92">
        <v>143</v>
      </c>
      <c r="D181" s="92">
        <v>625</v>
      </c>
      <c r="E181" s="92">
        <v>4555</v>
      </c>
      <c r="F181" s="92">
        <v>379</v>
      </c>
      <c r="G181" s="92">
        <v>0</v>
      </c>
      <c r="H181" s="92">
        <v>1248</v>
      </c>
      <c r="I181" s="92">
        <v>1707</v>
      </c>
      <c r="J181" s="92">
        <f>37+355</f>
        <v>392</v>
      </c>
      <c r="K181" s="92">
        <v>1013</v>
      </c>
      <c r="L181" s="92">
        <v>2001</v>
      </c>
      <c r="M181" s="92">
        <v>0</v>
      </c>
      <c r="N181" s="92">
        <v>7890</v>
      </c>
      <c r="O181" s="92">
        <v>2414</v>
      </c>
      <c r="P181" s="92">
        <v>830</v>
      </c>
      <c r="Q181" s="92">
        <v>1682</v>
      </c>
      <c r="R181" s="92">
        <v>1998</v>
      </c>
      <c r="S181" s="92">
        <v>2399</v>
      </c>
      <c r="T181" s="92">
        <f t="shared" si="34"/>
        <v>30296</v>
      </c>
    </row>
    <row r="182" spans="1:20" ht="15.75">
      <c r="A182" s="89" t="s">
        <v>74</v>
      </c>
      <c r="B182" s="71">
        <f aca="true" t="shared" si="35" ref="B182:S182">SUM(B170:B181)</f>
        <v>11813</v>
      </c>
      <c r="C182" s="71">
        <f t="shared" si="35"/>
        <v>1863</v>
      </c>
      <c r="D182" s="71">
        <f t="shared" si="35"/>
        <v>5671</v>
      </c>
      <c r="E182" s="71">
        <f t="shared" si="35"/>
        <v>29193</v>
      </c>
      <c r="F182" s="71">
        <f t="shared" si="35"/>
        <v>8453</v>
      </c>
      <c r="G182" s="71">
        <f t="shared" si="35"/>
        <v>8425</v>
      </c>
      <c r="H182" s="71">
        <f t="shared" si="35"/>
        <v>12482</v>
      </c>
      <c r="I182" s="71">
        <f t="shared" si="35"/>
        <v>16046</v>
      </c>
      <c r="J182" s="71">
        <f t="shared" si="35"/>
        <v>6827</v>
      </c>
      <c r="K182" s="71">
        <f t="shared" si="35"/>
        <v>10413</v>
      </c>
      <c r="L182" s="71">
        <f t="shared" si="35"/>
        <v>14172</v>
      </c>
      <c r="M182" s="71">
        <f t="shared" si="35"/>
        <v>0</v>
      </c>
      <c r="N182" s="71">
        <f t="shared" si="35"/>
        <v>48900</v>
      </c>
      <c r="O182" s="71">
        <f t="shared" si="35"/>
        <v>23629</v>
      </c>
      <c r="P182" s="71">
        <f t="shared" si="35"/>
        <v>14490</v>
      </c>
      <c r="Q182" s="71">
        <f t="shared" si="35"/>
        <v>21830</v>
      </c>
      <c r="R182" s="71">
        <f t="shared" si="35"/>
        <v>21559</v>
      </c>
      <c r="S182" s="71">
        <f t="shared" si="35"/>
        <v>25471</v>
      </c>
      <c r="T182" s="94">
        <f t="shared" si="34"/>
        <v>281237</v>
      </c>
    </row>
    <row r="183" spans="1:20" ht="15.75">
      <c r="A183" s="88" t="s">
        <v>295</v>
      </c>
      <c r="B183" s="85">
        <f>B182/12</f>
        <v>984.4166666666666</v>
      </c>
      <c r="C183" s="85">
        <f>C182/12</f>
        <v>155.25</v>
      </c>
      <c r="D183" s="85">
        <f>D182/12</f>
        <v>472.5833333333333</v>
      </c>
      <c r="E183" s="85">
        <f>E182/12</f>
        <v>2432.75</v>
      </c>
      <c r="F183" s="85">
        <f>F182/12</f>
        <v>704.4166666666666</v>
      </c>
      <c r="G183" s="72">
        <f>G182/9</f>
        <v>936.1111111111111</v>
      </c>
      <c r="H183" s="85">
        <f>H182/11</f>
        <v>1134.7272727272727</v>
      </c>
      <c r="I183" s="85">
        <f>I182/12</f>
        <v>1337.1666666666667</v>
      </c>
      <c r="J183" s="85">
        <f>J182/12</f>
        <v>568.9166666666666</v>
      </c>
      <c r="K183" s="85">
        <f>K182/12</f>
        <v>867.75</v>
      </c>
      <c r="L183" s="85">
        <f>L182/7</f>
        <v>2024.5714285714287</v>
      </c>
      <c r="M183" s="85">
        <f>M182/5</f>
        <v>0</v>
      </c>
      <c r="N183" s="85">
        <f>N182/7</f>
        <v>6985.714285714285</v>
      </c>
      <c r="O183" s="85">
        <f aca="true" t="shared" si="36" ref="O183:T183">O182/12</f>
        <v>1969.0833333333333</v>
      </c>
      <c r="P183" s="85">
        <f t="shared" si="36"/>
        <v>1207.5</v>
      </c>
      <c r="Q183" s="85">
        <f t="shared" si="36"/>
        <v>1819.1666666666667</v>
      </c>
      <c r="R183" s="85">
        <f t="shared" si="36"/>
        <v>1796.5833333333333</v>
      </c>
      <c r="S183" s="85">
        <f t="shared" si="36"/>
        <v>2122.5833333333335</v>
      </c>
      <c r="T183" s="85">
        <f t="shared" si="36"/>
        <v>23436.416666666668</v>
      </c>
    </row>
    <row r="184" spans="1:20" ht="15.75">
      <c r="A184" s="82" t="s">
        <v>297</v>
      </c>
      <c r="B184" s="86">
        <f>B183/(83+121)</f>
        <v>4.8255718954248366</v>
      </c>
      <c r="C184" s="86">
        <f>C183/45</f>
        <v>3.45</v>
      </c>
      <c r="D184" s="86">
        <f>D183/199</f>
        <v>2.374790619765494</v>
      </c>
      <c r="E184" s="86">
        <f>E183/300</f>
        <v>8.109166666666667</v>
      </c>
      <c r="F184" s="86">
        <f>F183/357</f>
        <v>1.9731559290382819</v>
      </c>
      <c r="G184" s="86">
        <f>G183/372</f>
        <v>2.5164277180406214</v>
      </c>
      <c r="H184" s="86">
        <f>H183/314</f>
        <v>3.6137811233352637</v>
      </c>
      <c r="I184" s="86">
        <f>I183/(102+124+124)</f>
        <v>3.8204761904761906</v>
      </c>
      <c r="J184" s="86">
        <f>J183/297</f>
        <v>1.9155443322109988</v>
      </c>
      <c r="K184" s="86">
        <f>K183/285</f>
        <v>3.044736842105263</v>
      </c>
      <c r="L184" s="86">
        <f>L183/448</f>
        <v>4.519132653061225</v>
      </c>
      <c r="M184" s="86">
        <f>M183/126</f>
        <v>0</v>
      </c>
      <c r="N184" s="86">
        <f>N183/(232+310+232)</f>
        <v>9.02547065337763</v>
      </c>
      <c r="O184" s="86">
        <f>O183/(328+165)</f>
        <v>3.9940838404327246</v>
      </c>
      <c r="P184" s="86">
        <f>P183/317</f>
        <v>3.809148264984227</v>
      </c>
      <c r="Q184" s="86">
        <f>Q183/194</f>
        <v>9.377147766323024</v>
      </c>
      <c r="R184" s="86">
        <f>R183/(124+124+120+96)</f>
        <v>3.8719468390804597</v>
      </c>
      <c r="S184" s="86">
        <f>S183/(124+124+120+96)</f>
        <v>4.574533045977012</v>
      </c>
      <c r="T184" s="86">
        <f>T183/5877</f>
        <v>3.9878197493052014</v>
      </c>
    </row>
    <row r="185" spans="1:20" ht="15.75">
      <c r="A185" s="78" t="s">
        <v>299</v>
      </c>
      <c r="B185" s="86">
        <v>15.3</v>
      </c>
      <c r="C185" s="86">
        <v>15.3</v>
      </c>
      <c r="D185" s="86">
        <v>15.3</v>
      </c>
      <c r="E185" s="86">
        <v>15.3</v>
      </c>
      <c r="F185" s="86">
        <v>15.3</v>
      </c>
      <c r="G185" s="86">
        <v>15.3</v>
      </c>
      <c r="H185" s="86">
        <v>15.3</v>
      </c>
      <c r="I185" s="86">
        <v>15.3</v>
      </c>
      <c r="J185" s="86">
        <v>15.3</v>
      </c>
      <c r="K185" s="86">
        <v>15.3</v>
      </c>
      <c r="L185" s="86">
        <v>15.3</v>
      </c>
      <c r="M185" s="86">
        <v>15.3</v>
      </c>
      <c r="N185" s="86">
        <v>15.3</v>
      </c>
      <c r="O185" s="86">
        <v>15.3</v>
      </c>
      <c r="P185" s="86">
        <v>15.3</v>
      </c>
      <c r="Q185" s="86">
        <v>15.3</v>
      </c>
      <c r="R185" s="86">
        <v>15.3</v>
      </c>
      <c r="S185" s="86">
        <v>15.3</v>
      </c>
      <c r="T185" s="86">
        <v>15.3</v>
      </c>
    </row>
    <row r="186" spans="1:20" ht="15.75">
      <c r="A186" s="82" t="s">
        <v>298</v>
      </c>
      <c r="B186" s="86">
        <f aca="true" t="shared" si="37" ref="B186:T186">B184*B185</f>
        <v>73.83125</v>
      </c>
      <c r="C186" s="86">
        <f t="shared" si="37"/>
        <v>52.785000000000004</v>
      </c>
      <c r="D186" s="86">
        <f t="shared" si="37"/>
        <v>36.33429648241206</v>
      </c>
      <c r="E186" s="86">
        <f t="shared" si="37"/>
        <v>124.07025000000002</v>
      </c>
      <c r="F186" s="86">
        <f t="shared" si="37"/>
        <v>30.189285714285713</v>
      </c>
      <c r="G186" s="86">
        <f t="shared" si="37"/>
        <v>38.50134408602151</v>
      </c>
      <c r="H186" s="86">
        <f t="shared" si="37"/>
        <v>55.29085118702954</v>
      </c>
      <c r="I186" s="86">
        <f t="shared" si="37"/>
        <v>58.45328571428572</v>
      </c>
      <c r="J186" s="86">
        <f t="shared" si="37"/>
        <v>29.307828282828282</v>
      </c>
      <c r="K186" s="86">
        <f t="shared" si="37"/>
        <v>46.58447368421053</v>
      </c>
      <c r="L186" s="86">
        <f t="shared" si="37"/>
        <v>69.14272959183674</v>
      </c>
      <c r="M186" s="86">
        <f t="shared" si="37"/>
        <v>0</v>
      </c>
      <c r="N186" s="86">
        <f t="shared" si="37"/>
        <v>138.08970099667775</v>
      </c>
      <c r="O186" s="86">
        <f t="shared" si="37"/>
        <v>61.109482758620686</v>
      </c>
      <c r="P186" s="86">
        <f t="shared" si="37"/>
        <v>58.27996845425868</v>
      </c>
      <c r="Q186" s="86">
        <f t="shared" si="37"/>
        <v>143.47036082474227</v>
      </c>
      <c r="R186" s="86">
        <f t="shared" si="37"/>
        <v>59.24078663793104</v>
      </c>
      <c r="S186" s="86">
        <f t="shared" si="37"/>
        <v>69.9903556034483</v>
      </c>
      <c r="T186" s="86">
        <f t="shared" si="37"/>
        <v>61.013642164369585</v>
      </c>
    </row>
    <row r="187" spans="1:20" ht="22.5">
      <c r="A187" s="79" t="s">
        <v>296</v>
      </c>
      <c r="B187" s="87">
        <f aca="true" t="shared" si="38" ref="B187:T187">B186*12/2.5</f>
        <v>354.39</v>
      </c>
      <c r="C187" s="87">
        <f t="shared" si="38"/>
        <v>253.36800000000002</v>
      </c>
      <c r="D187" s="87">
        <f t="shared" si="38"/>
        <v>174.40462311557786</v>
      </c>
      <c r="E187" s="87">
        <f t="shared" si="38"/>
        <v>595.5372000000001</v>
      </c>
      <c r="F187" s="87">
        <f t="shared" si="38"/>
        <v>144.9085714285714</v>
      </c>
      <c r="G187" s="87">
        <f t="shared" si="38"/>
        <v>184.80645161290326</v>
      </c>
      <c r="H187" s="87">
        <f t="shared" si="38"/>
        <v>265.3960856977418</v>
      </c>
      <c r="I187" s="87">
        <f t="shared" si="38"/>
        <v>280.57577142857144</v>
      </c>
      <c r="J187" s="87">
        <f t="shared" si="38"/>
        <v>140.67757575757577</v>
      </c>
      <c r="K187" s="87">
        <f t="shared" si="38"/>
        <v>223.60547368421052</v>
      </c>
      <c r="L187" s="87">
        <f t="shared" si="38"/>
        <v>331.8851020408164</v>
      </c>
      <c r="M187" s="87">
        <f t="shared" si="38"/>
        <v>0</v>
      </c>
      <c r="N187" s="87">
        <f t="shared" si="38"/>
        <v>662.8305647840532</v>
      </c>
      <c r="O187" s="87">
        <f t="shared" si="38"/>
        <v>293.3255172413793</v>
      </c>
      <c r="P187" s="87">
        <f t="shared" si="38"/>
        <v>279.7438485804417</v>
      </c>
      <c r="Q187" s="87">
        <f t="shared" si="38"/>
        <v>688.657731958763</v>
      </c>
      <c r="R187" s="87">
        <f t="shared" si="38"/>
        <v>284.355775862069</v>
      </c>
      <c r="S187" s="87">
        <f t="shared" si="38"/>
        <v>335.9537068965518</v>
      </c>
      <c r="T187" s="95">
        <f t="shared" si="38"/>
        <v>292.86548238897404</v>
      </c>
    </row>
    <row r="195" spans="1:20" ht="15.75">
      <c r="A195" s="9" t="s">
        <v>18</v>
      </c>
      <c r="B195" s="9" t="s">
        <v>72</v>
      </c>
      <c r="C195" s="9" t="s">
        <v>2</v>
      </c>
      <c r="D195" s="9" t="s">
        <v>3</v>
      </c>
      <c r="E195" s="9" t="s">
        <v>4</v>
      </c>
      <c r="F195" s="9" t="s">
        <v>5</v>
      </c>
      <c r="G195" s="9" t="s">
        <v>6</v>
      </c>
      <c r="H195" s="9" t="s">
        <v>7</v>
      </c>
      <c r="I195" s="9" t="s">
        <v>8</v>
      </c>
      <c r="J195" s="9" t="s">
        <v>9</v>
      </c>
      <c r="K195" s="9" t="s">
        <v>10</v>
      </c>
      <c r="L195" s="9" t="s">
        <v>11</v>
      </c>
      <c r="M195" s="9" t="s">
        <v>12</v>
      </c>
      <c r="N195" s="9" t="s">
        <v>13</v>
      </c>
      <c r="O195" s="9" t="s">
        <v>138</v>
      </c>
      <c r="P195" s="9" t="s">
        <v>15</v>
      </c>
      <c r="Q195" s="9" t="s">
        <v>16</v>
      </c>
      <c r="R195" s="9" t="s">
        <v>243</v>
      </c>
      <c r="S195" s="9" t="s">
        <v>244</v>
      </c>
      <c r="T195" s="10" t="s">
        <v>134</v>
      </c>
    </row>
    <row r="196" spans="1:20" ht="15.75">
      <c r="A196" s="13" t="s">
        <v>270</v>
      </c>
      <c r="B196" s="12">
        <f>64792-63846</f>
        <v>946</v>
      </c>
      <c r="C196" s="12">
        <f>1514-1387</f>
        <v>127</v>
      </c>
      <c r="D196" s="12">
        <f>39561-39060</f>
        <v>501</v>
      </c>
      <c r="E196" s="12">
        <f>74901-73117</f>
        <v>1784</v>
      </c>
      <c r="F196" s="12">
        <f>61236-60923</f>
        <v>313</v>
      </c>
      <c r="G196" s="12">
        <v>0</v>
      </c>
      <c r="H196" s="12">
        <f>106121-105160</f>
        <v>961</v>
      </c>
      <c r="I196" s="12">
        <f>42574-41266</f>
        <v>1308</v>
      </c>
      <c r="J196" s="12">
        <f>9570-9561</f>
        <v>9</v>
      </c>
      <c r="K196" s="12">
        <f>14357-13653</f>
        <v>704</v>
      </c>
      <c r="L196" s="12">
        <f>15961-14172</f>
        <v>1789</v>
      </c>
      <c r="M196" s="12">
        <v>0</v>
      </c>
      <c r="N196" s="12">
        <f>55776-48900</f>
        <v>6876</v>
      </c>
      <c r="O196" s="12">
        <f>32475-30753</f>
        <v>1722</v>
      </c>
      <c r="P196" s="12">
        <f>159830-158582</f>
        <v>1248</v>
      </c>
      <c r="Q196" s="12">
        <f>128313-127005</f>
        <v>1308</v>
      </c>
      <c r="R196" s="12">
        <f>40875-38935</f>
        <v>1940</v>
      </c>
      <c r="S196" s="12">
        <f>46700-44675</f>
        <v>2025</v>
      </c>
      <c r="T196" s="9">
        <f aca="true" t="shared" si="39" ref="T196:T207">SUM(B196:S196)</f>
        <v>23561</v>
      </c>
    </row>
    <row r="197" spans="1:20" ht="15.75">
      <c r="A197" s="13" t="s">
        <v>271</v>
      </c>
      <c r="B197" s="9">
        <f>65622-64792</f>
        <v>830</v>
      </c>
      <c r="C197" s="9">
        <f>1618-1514</f>
        <v>104</v>
      </c>
      <c r="D197" s="9">
        <f>39852-39561</f>
        <v>291</v>
      </c>
      <c r="E197" s="9">
        <f>76595-74901</f>
        <v>1694</v>
      </c>
      <c r="F197" s="9">
        <f>61732-61236</f>
        <v>496</v>
      </c>
      <c r="G197" s="9">
        <v>0</v>
      </c>
      <c r="H197" s="9">
        <f>106703-106121</f>
        <v>582</v>
      </c>
      <c r="I197" s="9">
        <f>43320-42574</f>
        <v>746</v>
      </c>
      <c r="J197" s="9">
        <f>9597-9570</f>
        <v>27</v>
      </c>
      <c r="K197" s="9">
        <f>14760-14357</f>
        <v>403</v>
      </c>
      <c r="L197" s="9">
        <f>17323-15961</f>
        <v>1362</v>
      </c>
      <c r="M197" s="9">
        <v>0</v>
      </c>
      <c r="N197" s="9">
        <f>61488-55776</f>
        <v>5712</v>
      </c>
      <c r="O197" s="9">
        <f>33436-32475</f>
        <v>961</v>
      </c>
      <c r="P197" s="9">
        <f>160717-159830</f>
        <v>887</v>
      </c>
      <c r="Q197" s="9">
        <f>128903-128313</f>
        <v>590</v>
      </c>
      <c r="R197" s="9">
        <f>42073-40875</f>
        <v>1198</v>
      </c>
      <c r="S197" s="9">
        <f>48445-46700</f>
        <v>1745</v>
      </c>
      <c r="T197" s="9">
        <f t="shared" si="39"/>
        <v>17628</v>
      </c>
    </row>
    <row r="198" spans="1:20" ht="15.75">
      <c r="A198" s="13" t="s">
        <v>272</v>
      </c>
      <c r="B198" s="9">
        <f>66602-65622</f>
        <v>980</v>
      </c>
      <c r="C198" s="9">
        <f>1746-1618</f>
        <v>128</v>
      </c>
      <c r="D198" s="9">
        <f>40483-39852</f>
        <v>631</v>
      </c>
      <c r="E198" s="9">
        <f>79780-76595</f>
        <v>3185</v>
      </c>
      <c r="F198" s="9">
        <f>62390-61732</f>
        <v>658</v>
      </c>
      <c r="G198" s="9">
        <v>0</v>
      </c>
      <c r="H198" s="9">
        <f>107948-106703</f>
        <v>1245</v>
      </c>
      <c r="I198" s="9">
        <f>44832-43320</f>
        <v>1512</v>
      </c>
      <c r="J198" s="9">
        <f>9608-9597</f>
        <v>11</v>
      </c>
      <c r="K198" s="9">
        <f>15780-14760</f>
        <v>1020</v>
      </c>
      <c r="L198" s="9">
        <f>19361-17323</f>
        <v>2038</v>
      </c>
      <c r="M198" s="9">
        <v>0</v>
      </c>
      <c r="N198" s="9">
        <f>69565-61488</f>
        <v>8077</v>
      </c>
      <c r="O198" s="9">
        <f>35786-33436</f>
        <v>2350</v>
      </c>
      <c r="P198" s="9">
        <f>162046-160717</f>
        <v>1329</v>
      </c>
      <c r="Q198" s="9">
        <f>130002-128903</f>
        <v>1099</v>
      </c>
      <c r="R198" s="9">
        <f>43910-42073</f>
        <v>1837</v>
      </c>
      <c r="S198" s="9">
        <f>50493-48445</f>
        <v>2048</v>
      </c>
      <c r="T198" s="9">
        <f t="shared" si="39"/>
        <v>28148</v>
      </c>
    </row>
    <row r="199" spans="1:20" ht="15.75">
      <c r="A199" s="13" t="s">
        <v>273</v>
      </c>
      <c r="B199" s="9">
        <f>67693-66602</f>
        <v>1091</v>
      </c>
      <c r="C199" s="9">
        <f>1895-1746</f>
        <v>149</v>
      </c>
      <c r="D199" s="9">
        <f>41134-40483</f>
        <v>651</v>
      </c>
      <c r="E199" s="9">
        <f>83210-79780</f>
        <v>3430</v>
      </c>
      <c r="F199" s="9">
        <f>63100-62390</f>
        <v>710</v>
      </c>
      <c r="G199" s="9">
        <v>0</v>
      </c>
      <c r="H199" s="9">
        <f>109276-107948</f>
        <v>1328</v>
      </c>
      <c r="I199" s="9">
        <f>46250-44832</f>
        <v>1418</v>
      </c>
      <c r="J199" s="9">
        <v>1</v>
      </c>
      <c r="K199" s="9">
        <f>16820-15780</f>
        <v>1040</v>
      </c>
      <c r="L199" s="9">
        <f>21530-19361</f>
        <v>2169</v>
      </c>
      <c r="M199" s="9">
        <v>0</v>
      </c>
      <c r="N199" s="9">
        <f>78001-69565</f>
        <v>8436</v>
      </c>
      <c r="O199" s="9">
        <f>38335-35786</f>
        <v>2549</v>
      </c>
      <c r="P199" s="9">
        <f>163531-162046</f>
        <v>1485</v>
      </c>
      <c r="Q199" s="9">
        <f>131192-130002</f>
        <v>1190</v>
      </c>
      <c r="R199" s="9">
        <f>45989-43910</f>
        <v>2079</v>
      </c>
      <c r="S199" s="9">
        <f>52714-50493</f>
        <v>2221</v>
      </c>
      <c r="T199" s="9">
        <f t="shared" si="39"/>
        <v>29947</v>
      </c>
    </row>
    <row r="200" spans="1:20" ht="15.75">
      <c r="A200" s="13" t="s">
        <v>274</v>
      </c>
      <c r="B200" s="9">
        <f>68545-67693</f>
        <v>852</v>
      </c>
      <c r="C200" s="9">
        <f>2017-1895</f>
        <v>122</v>
      </c>
      <c r="D200" s="9">
        <f>41655-41134</f>
        <v>521</v>
      </c>
      <c r="E200" s="9">
        <f>85574-83210</f>
        <v>2364</v>
      </c>
      <c r="F200" s="9">
        <f>64055-63100</f>
        <v>955</v>
      </c>
      <c r="G200" s="9">
        <v>22</v>
      </c>
      <c r="H200" s="9">
        <f>110287-109276</f>
        <v>1011</v>
      </c>
      <c r="I200" s="9">
        <f>47431-46250</f>
        <v>1181</v>
      </c>
      <c r="J200" s="9">
        <f>9613-9609+898</f>
        <v>902</v>
      </c>
      <c r="K200" s="9">
        <f>17747-16820</f>
        <v>927</v>
      </c>
      <c r="L200" s="9">
        <f>23231-21530</f>
        <v>1701</v>
      </c>
      <c r="M200" s="9">
        <v>0</v>
      </c>
      <c r="N200" s="9">
        <f>85911-78001</f>
        <v>7910</v>
      </c>
      <c r="O200" s="9">
        <f>40335-38335</f>
        <v>2000</v>
      </c>
      <c r="P200" s="9">
        <f>164709-163531</f>
        <v>1178</v>
      </c>
      <c r="Q200" s="9">
        <f>132156-131192</f>
        <v>964</v>
      </c>
      <c r="R200" s="9">
        <f>47547-45989</f>
        <v>1558</v>
      </c>
      <c r="S200" s="9">
        <f>54577-52714</f>
        <v>1863</v>
      </c>
      <c r="T200" s="9">
        <f t="shared" si="39"/>
        <v>26031</v>
      </c>
    </row>
    <row r="201" spans="1:20" ht="15.75">
      <c r="A201" s="13" t="s">
        <v>275</v>
      </c>
      <c r="B201" s="9">
        <f>69504-68545</f>
        <v>959</v>
      </c>
      <c r="C201" s="9">
        <f>2153-2017</f>
        <v>136</v>
      </c>
      <c r="D201" s="9">
        <f>42182-41655</f>
        <v>527</v>
      </c>
      <c r="E201" s="9">
        <f>88191-85574</f>
        <v>2617</v>
      </c>
      <c r="F201" s="9">
        <f>64950-64055</f>
        <v>895</v>
      </c>
      <c r="G201" s="9">
        <f>976-22</f>
        <v>954</v>
      </c>
      <c r="H201" s="9">
        <f>111423-110287</f>
        <v>1136</v>
      </c>
      <c r="I201" s="9">
        <f>48701-47431</f>
        <v>1270</v>
      </c>
      <c r="J201" s="9">
        <f>9619-9613+2244-898</f>
        <v>1352</v>
      </c>
      <c r="K201" s="9">
        <f>18784-17747</f>
        <v>1037</v>
      </c>
      <c r="L201" s="9">
        <f>25152-23231</f>
        <v>1921</v>
      </c>
      <c r="M201" s="9">
        <v>0</v>
      </c>
      <c r="N201" s="9">
        <f>93945-85911</f>
        <v>8034</v>
      </c>
      <c r="O201" s="9">
        <f>41119-40335</f>
        <v>784</v>
      </c>
      <c r="P201" s="9">
        <f>166037-164709</f>
        <v>1328</v>
      </c>
      <c r="Q201" s="9">
        <f>133173-132156</f>
        <v>1017</v>
      </c>
      <c r="R201" s="9">
        <f>49353-47547</f>
        <v>1806</v>
      </c>
      <c r="S201" s="9">
        <f>56643-54577</f>
        <v>2066</v>
      </c>
      <c r="T201" s="9">
        <f t="shared" si="39"/>
        <v>27839</v>
      </c>
    </row>
    <row r="202" spans="1:20" ht="15.75">
      <c r="A202" s="13" t="s">
        <v>276</v>
      </c>
      <c r="B202" s="9">
        <f>70429-69504</f>
        <v>925</v>
      </c>
      <c r="C202" s="9">
        <f>2185-2153</f>
        <v>32</v>
      </c>
      <c r="D202" s="9">
        <f>42549-42182</f>
        <v>367</v>
      </c>
      <c r="E202" s="9">
        <f>89614-88191</f>
        <v>1423</v>
      </c>
      <c r="F202" s="9">
        <v>0</v>
      </c>
      <c r="G202" s="9">
        <f>2442-976</f>
        <v>1466</v>
      </c>
      <c r="H202" s="9">
        <f>111991-111423</f>
        <v>568</v>
      </c>
      <c r="I202" s="9">
        <f>49640-48701</f>
        <v>939</v>
      </c>
      <c r="J202" s="9">
        <f>3336-2244</f>
        <v>1092</v>
      </c>
      <c r="K202" s="9">
        <f>19167-18784</f>
        <v>383</v>
      </c>
      <c r="L202" s="9">
        <f>26830-25152</f>
        <v>1678</v>
      </c>
      <c r="M202" s="9">
        <v>0</v>
      </c>
      <c r="N202" s="9">
        <f>99325-93945</f>
        <v>5380</v>
      </c>
      <c r="O202" s="9">
        <f>42094-41119</f>
        <v>975</v>
      </c>
      <c r="P202" s="9">
        <f>167142-166037</f>
        <v>1105</v>
      </c>
      <c r="Q202" s="9">
        <f>133713-133173</f>
        <v>540</v>
      </c>
      <c r="R202" s="9">
        <f>50788-49353</f>
        <v>1435</v>
      </c>
      <c r="S202" s="9">
        <f>58622-56643</f>
        <v>1979</v>
      </c>
      <c r="T202" s="9">
        <f t="shared" si="39"/>
        <v>20287</v>
      </c>
    </row>
    <row r="203" spans="1:20" ht="15.75">
      <c r="A203" s="13" t="s">
        <v>277</v>
      </c>
      <c r="B203" s="9">
        <f>71330-70429</f>
        <v>901</v>
      </c>
      <c r="C203" s="9">
        <f>2196-2185</f>
        <v>11</v>
      </c>
      <c r="D203" s="9">
        <f>42888-42549</f>
        <v>339</v>
      </c>
      <c r="E203" s="9">
        <f>90982-89614</f>
        <v>1368</v>
      </c>
      <c r="F203" s="9">
        <v>0</v>
      </c>
      <c r="G203" s="9">
        <f>3836-2442</f>
        <v>1394</v>
      </c>
      <c r="H203" s="9">
        <f>112299-111991</f>
        <v>308</v>
      </c>
      <c r="I203" s="9">
        <f>50400-49640</f>
        <v>760</v>
      </c>
      <c r="J203" s="9">
        <f>9643-9619+4018-3336</f>
        <v>706</v>
      </c>
      <c r="K203" s="9">
        <f>19612-19167</f>
        <v>445</v>
      </c>
      <c r="L203" s="9">
        <f>28362-26830</f>
        <v>1532</v>
      </c>
      <c r="M203" s="9">
        <v>0</v>
      </c>
      <c r="N203" s="9">
        <f>105000-99325</f>
        <v>5675</v>
      </c>
      <c r="O203" s="9">
        <f>42934-42094</f>
        <v>840</v>
      </c>
      <c r="P203" s="9">
        <f>168170-167142</f>
        <v>1028</v>
      </c>
      <c r="Q203" s="9">
        <f>134254-133713</f>
        <v>541</v>
      </c>
      <c r="R203" s="9">
        <f>52060-50788</f>
        <v>1272</v>
      </c>
      <c r="S203" s="9">
        <f>60583-58622</f>
        <v>1961</v>
      </c>
      <c r="T203" s="9">
        <f t="shared" si="39"/>
        <v>19081</v>
      </c>
    </row>
    <row r="204" spans="1:20" ht="15.75">
      <c r="A204" s="13" t="s">
        <v>278</v>
      </c>
      <c r="B204" s="9">
        <f>72164-71330</f>
        <v>834</v>
      </c>
      <c r="C204" s="9">
        <f>2207-2196</f>
        <v>11</v>
      </c>
      <c r="D204" s="9">
        <f>43279-42888</f>
        <v>391</v>
      </c>
      <c r="E204" s="9">
        <f>93356-90982</f>
        <v>2374</v>
      </c>
      <c r="F204" s="9">
        <v>0</v>
      </c>
      <c r="G204" s="9">
        <f>5219-3836</f>
        <v>1383</v>
      </c>
      <c r="H204" s="9">
        <f>113108-112299</f>
        <v>809</v>
      </c>
      <c r="I204" s="9">
        <f>51411-50400</f>
        <v>1011</v>
      </c>
      <c r="J204" s="9">
        <f>9646-9643+5008-4018</f>
        <v>993</v>
      </c>
      <c r="K204" s="9">
        <f>20247-19612</f>
        <v>635</v>
      </c>
      <c r="L204" s="9">
        <f>30036-28362</f>
        <v>1674</v>
      </c>
      <c r="M204" s="9">
        <v>0</v>
      </c>
      <c r="N204" s="9">
        <f>111640-105000</f>
        <v>6640</v>
      </c>
      <c r="O204" s="9">
        <f>44565-42934</f>
        <v>1631</v>
      </c>
      <c r="P204" s="9">
        <f>169186-168170</f>
        <v>1016</v>
      </c>
      <c r="Q204" s="9">
        <f>134926-134254</f>
        <v>672</v>
      </c>
      <c r="R204" s="9">
        <f>53402-52060</f>
        <v>1342</v>
      </c>
      <c r="S204" s="9">
        <f>62395-60583</f>
        <v>1812</v>
      </c>
      <c r="T204" s="9">
        <f t="shared" si="39"/>
        <v>23228</v>
      </c>
    </row>
    <row r="205" spans="1:20" ht="15.75">
      <c r="A205" s="13" t="s">
        <v>279</v>
      </c>
      <c r="B205" s="9">
        <f>73245-72164</f>
        <v>1081</v>
      </c>
      <c r="C205" s="9">
        <f>2395-2207</f>
        <v>188</v>
      </c>
      <c r="D205" s="9">
        <f>43848-43279</f>
        <v>569</v>
      </c>
      <c r="E205" s="9">
        <f>96262-93356</f>
        <v>2906</v>
      </c>
      <c r="F205" s="9">
        <v>0</v>
      </c>
      <c r="G205" s="9">
        <f>7145-5219</f>
        <v>1926</v>
      </c>
      <c r="H205" s="9">
        <f>114387-113108</f>
        <v>1279</v>
      </c>
      <c r="I205" s="9">
        <f>52905-51411</f>
        <v>1494</v>
      </c>
      <c r="J205" s="9">
        <f>9651-9646+6456-5008</f>
        <v>1453</v>
      </c>
      <c r="K205" s="9">
        <f>21267-20247</f>
        <v>1020</v>
      </c>
      <c r="L205" s="9">
        <f>32200-30036</f>
        <v>2164</v>
      </c>
      <c r="M205" s="9">
        <v>0</v>
      </c>
      <c r="N205" s="9">
        <f>120906-111640</f>
        <v>9266</v>
      </c>
      <c r="O205" s="9">
        <f>46853-44565</f>
        <v>2288</v>
      </c>
      <c r="P205" s="9">
        <f>170556-169186</f>
        <v>1370</v>
      </c>
      <c r="Q205" s="9">
        <f>135998-134926</f>
        <v>1072</v>
      </c>
      <c r="R205" s="9">
        <f>55335-53402</f>
        <v>1933</v>
      </c>
      <c r="S205" s="9">
        <f>64631-62395</f>
        <v>2236</v>
      </c>
      <c r="T205" s="9">
        <f t="shared" si="39"/>
        <v>32245</v>
      </c>
    </row>
    <row r="206" spans="1:20" ht="15.75">
      <c r="A206" s="13" t="s">
        <v>280</v>
      </c>
      <c r="B206" s="9">
        <f>74214-73245</f>
        <v>969</v>
      </c>
      <c r="C206" s="9">
        <f>2646-2395</f>
        <v>251</v>
      </c>
      <c r="D206" s="9">
        <f>44402-43848</f>
        <v>554</v>
      </c>
      <c r="E206" s="9">
        <f>98986-96262</f>
        <v>2724</v>
      </c>
      <c r="F206" s="9">
        <v>19</v>
      </c>
      <c r="G206" s="9">
        <f>9254-7145</f>
        <v>2109</v>
      </c>
      <c r="H206" s="9">
        <f>115582-114387</f>
        <v>1195</v>
      </c>
      <c r="I206" s="9">
        <f>54221-52905</f>
        <v>1316</v>
      </c>
      <c r="J206" s="9">
        <f>9653-9651+7925-6456</f>
        <v>1471</v>
      </c>
      <c r="K206" s="9">
        <f>22267-21267</f>
        <v>1000</v>
      </c>
      <c r="L206" s="9">
        <f>34225-32200</f>
        <v>2025</v>
      </c>
      <c r="M206" s="9">
        <v>0</v>
      </c>
      <c r="N206" s="9">
        <f>129450-120906</f>
        <v>8544</v>
      </c>
      <c r="O206" s="9">
        <f>49216-46853</f>
        <v>2363</v>
      </c>
      <c r="P206" s="9">
        <f>171817-170556</f>
        <v>1261</v>
      </c>
      <c r="Q206" s="9">
        <f>136960-135998</f>
        <v>962</v>
      </c>
      <c r="R206" s="9">
        <f>57117-55335</f>
        <v>1782</v>
      </c>
      <c r="S206" s="9">
        <f>66686-64631</f>
        <v>2055</v>
      </c>
      <c r="T206" s="9">
        <f t="shared" si="39"/>
        <v>30600</v>
      </c>
    </row>
    <row r="207" spans="1:20" ht="15.75">
      <c r="A207" s="13" t="s">
        <v>281</v>
      </c>
      <c r="B207" s="54">
        <f>75236-74214</f>
        <v>1022</v>
      </c>
      <c r="C207" s="54" t="s">
        <v>317</v>
      </c>
      <c r="D207" s="54">
        <f>44957-44402</f>
        <v>555</v>
      </c>
      <c r="E207" s="54">
        <f>101868-98986</f>
        <v>2882</v>
      </c>
      <c r="F207" s="54">
        <f>56-19</f>
        <v>37</v>
      </c>
      <c r="G207" s="54">
        <f>11814-9254</f>
        <v>2560</v>
      </c>
      <c r="H207" s="54">
        <f>116877-115582</f>
        <v>1295</v>
      </c>
      <c r="I207" s="54">
        <f>55843-54221</f>
        <v>1622</v>
      </c>
      <c r="J207" s="54">
        <f>9737-9653+9758-7925</f>
        <v>1917</v>
      </c>
      <c r="K207" s="54">
        <f>23376-22267</f>
        <v>1109</v>
      </c>
      <c r="L207" s="54">
        <f>36344-34225</f>
        <v>2119</v>
      </c>
      <c r="M207" s="54">
        <v>0</v>
      </c>
      <c r="N207" s="54">
        <f>138464-129450</f>
        <v>9014</v>
      </c>
      <c r="O207" s="54">
        <f>51560-49216</f>
        <v>2344</v>
      </c>
      <c r="P207" s="54">
        <f>173098-171817</f>
        <v>1281</v>
      </c>
      <c r="Q207" s="54">
        <f>138281-136960</f>
        <v>1321</v>
      </c>
      <c r="R207" s="54">
        <f>58989-57117</f>
        <v>1872</v>
      </c>
      <c r="S207" s="54">
        <f>68778-66686</f>
        <v>2092</v>
      </c>
      <c r="T207" s="9">
        <f t="shared" si="39"/>
        <v>33042</v>
      </c>
    </row>
    <row r="208" spans="1:20" ht="15.75">
      <c r="A208" s="43" t="s">
        <v>74</v>
      </c>
      <c r="B208" s="61">
        <f>SUM(B195:B207)</f>
        <v>11390</v>
      </c>
      <c r="C208" s="61">
        <f aca="true" t="shared" si="40" ref="C208:T208">SUM(C195:C207)</f>
        <v>1259</v>
      </c>
      <c r="D208" s="61">
        <f t="shared" si="40"/>
        <v>5897</v>
      </c>
      <c r="E208" s="61">
        <f t="shared" si="40"/>
        <v>28751</v>
      </c>
      <c r="F208" s="61">
        <f t="shared" si="40"/>
        <v>4083</v>
      </c>
      <c r="G208" s="61">
        <f t="shared" si="40"/>
        <v>11814</v>
      </c>
      <c r="H208" s="61">
        <f t="shared" si="40"/>
        <v>11717</v>
      </c>
      <c r="I208" s="61">
        <f t="shared" si="40"/>
        <v>14577</v>
      </c>
      <c r="J208" s="61">
        <f t="shared" si="40"/>
        <v>9934</v>
      </c>
      <c r="K208" s="61">
        <f t="shared" si="40"/>
        <v>9723</v>
      </c>
      <c r="L208" s="61">
        <f t="shared" si="40"/>
        <v>22172</v>
      </c>
      <c r="M208" s="61">
        <f t="shared" si="40"/>
        <v>0</v>
      </c>
      <c r="N208" s="61">
        <f t="shared" si="40"/>
        <v>89564</v>
      </c>
      <c r="O208" s="61">
        <f t="shared" si="40"/>
        <v>20807</v>
      </c>
      <c r="P208" s="61">
        <f t="shared" si="40"/>
        <v>14516</v>
      </c>
      <c r="Q208" s="61">
        <f t="shared" si="40"/>
        <v>11276</v>
      </c>
      <c r="R208" s="61">
        <f t="shared" si="40"/>
        <v>20054</v>
      </c>
      <c r="S208" s="61">
        <f t="shared" si="40"/>
        <v>24103</v>
      </c>
      <c r="T208" s="61">
        <f t="shared" si="40"/>
        <v>311637</v>
      </c>
    </row>
    <row r="211" spans="1:20" ht="15.75">
      <c r="A211" s="9" t="s">
        <v>18</v>
      </c>
      <c r="B211" s="9" t="s">
        <v>72</v>
      </c>
      <c r="C211" s="9" t="s">
        <v>2</v>
      </c>
      <c r="D211" s="9" t="s">
        <v>3</v>
      </c>
      <c r="E211" s="9" t="s">
        <v>4</v>
      </c>
      <c r="F211" s="9" t="s">
        <v>5</v>
      </c>
      <c r="G211" s="9" t="s">
        <v>6</v>
      </c>
      <c r="H211" s="9" t="s">
        <v>7</v>
      </c>
      <c r="I211" s="9" t="s">
        <v>8</v>
      </c>
      <c r="J211" s="9" t="s">
        <v>9</v>
      </c>
      <c r="K211" s="9" t="s">
        <v>10</v>
      </c>
      <c r="L211" s="9" t="s">
        <v>11</v>
      </c>
      <c r="M211" s="9" t="s">
        <v>12</v>
      </c>
      <c r="N211" s="9" t="s">
        <v>13</v>
      </c>
      <c r="O211" s="9" t="s">
        <v>138</v>
      </c>
      <c r="P211" s="9" t="s">
        <v>15</v>
      </c>
      <c r="Q211" s="9" t="s">
        <v>16</v>
      </c>
      <c r="R211" s="9" t="s">
        <v>243</v>
      </c>
      <c r="S211" s="9" t="s">
        <v>244</v>
      </c>
      <c r="T211" s="10" t="s">
        <v>134</v>
      </c>
    </row>
    <row r="212" spans="1:20" ht="15.75">
      <c r="A212" s="13" t="s">
        <v>305</v>
      </c>
      <c r="B212" s="12">
        <f>75867-75236</f>
        <v>631</v>
      </c>
      <c r="C212" s="54" t="s">
        <v>317</v>
      </c>
      <c r="D212" s="12">
        <f>45284-44957</f>
        <v>327</v>
      </c>
      <c r="E212" s="12">
        <f>103647-101868</f>
        <v>1779</v>
      </c>
      <c r="F212" s="12">
        <f>87-56</f>
        <v>31</v>
      </c>
      <c r="G212" s="12">
        <f>13536-11814</f>
        <v>1722</v>
      </c>
      <c r="H212" s="12">
        <f>117627-116877</f>
        <v>750</v>
      </c>
      <c r="I212" s="12">
        <f>56728-55843</f>
        <v>885</v>
      </c>
      <c r="J212" s="12">
        <f>9828-9737+10759-9758</f>
        <v>1092</v>
      </c>
      <c r="K212" s="12">
        <f>24021-23376</f>
        <v>645</v>
      </c>
      <c r="L212" s="12">
        <f>37531-36344</f>
        <v>1187</v>
      </c>
      <c r="M212" s="12">
        <f>0</f>
        <v>0</v>
      </c>
      <c r="N212" s="12">
        <f>145470-138464</f>
        <v>7006</v>
      </c>
      <c r="O212" s="12">
        <f>52927-51560</f>
        <v>1367</v>
      </c>
      <c r="P212" s="12">
        <f>173918-173098</f>
        <v>820</v>
      </c>
      <c r="Q212" s="12">
        <f>138919-138281</f>
        <v>638</v>
      </c>
      <c r="R212" s="8">
        <f>60083-58989</f>
        <v>1094</v>
      </c>
      <c r="S212" s="12">
        <f>70066-68778</f>
        <v>1288</v>
      </c>
      <c r="T212" s="9">
        <f>SUM(B212:S212)</f>
        <v>21262</v>
      </c>
    </row>
    <row r="213" spans="1:20" ht="15.75">
      <c r="A213" s="13" t="s">
        <v>306</v>
      </c>
      <c r="B213" s="9">
        <f>76840-75867</f>
        <v>973</v>
      </c>
      <c r="C213" s="54" t="s">
        <v>317</v>
      </c>
      <c r="D213" s="9">
        <f>45655-45284</f>
        <v>371</v>
      </c>
      <c r="E213" s="9">
        <f>105628-103647</f>
        <v>1981</v>
      </c>
      <c r="F213" s="9">
        <f>121-87</f>
        <v>34</v>
      </c>
      <c r="G213" s="9">
        <f>14893-13536</f>
        <v>1357</v>
      </c>
      <c r="H213" s="9">
        <f>118255-117627</f>
        <v>628</v>
      </c>
      <c r="I213" s="9">
        <f>57838-56728</f>
        <v>1110</v>
      </c>
      <c r="J213" s="9">
        <f>9895-9828+11765-10759</f>
        <v>1073</v>
      </c>
      <c r="K213" s="9">
        <f>24620-24021</f>
        <v>599</v>
      </c>
      <c r="L213" s="9">
        <f>39305-37531</f>
        <v>1774</v>
      </c>
      <c r="M213" s="9">
        <v>0</v>
      </c>
      <c r="N213" s="9">
        <f>152229-145470</f>
        <v>6759</v>
      </c>
      <c r="O213" s="9">
        <f>54181-52927</f>
        <v>1254</v>
      </c>
      <c r="P213" s="9">
        <f>174939-173918</f>
        <v>1021</v>
      </c>
      <c r="Q213" s="9">
        <f>139590-138919</f>
        <v>671</v>
      </c>
      <c r="R213" s="9">
        <f>61377-60083</f>
        <v>1294</v>
      </c>
      <c r="S213" s="9">
        <f>71748-70066</f>
        <v>1682</v>
      </c>
      <c r="T213" s="9">
        <f aca="true" t="shared" si="41" ref="T213:T223">SUM(B213:S213)</f>
        <v>22581</v>
      </c>
    </row>
    <row r="214" spans="1:20" ht="15.75">
      <c r="A214" s="13" t="s">
        <v>307</v>
      </c>
      <c r="B214" s="9">
        <f>77780-76840</f>
        <v>940</v>
      </c>
      <c r="C214" s="54" t="s">
        <v>317</v>
      </c>
      <c r="D214" s="9">
        <f>46238-45655</f>
        <v>583</v>
      </c>
      <c r="E214" s="9">
        <f>108879-105628</f>
        <v>3251</v>
      </c>
      <c r="F214" s="9">
        <f>157-121</f>
        <v>36</v>
      </c>
      <c r="G214" s="9">
        <f>16907-14893</f>
        <v>2014</v>
      </c>
      <c r="H214" s="9">
        <f>119487-118255</f>
        <v>1232</v>
      </c>
      <c r="I214" s="9">
        <f>59312-57838</f>
        <v>1474</v>
      </c>
      <c r="J214" s="9">
        <f>9968-9895+13483-11765</f>
        <v>1791</v>
      </c>
      <c r="K214" s="9">
        <f>25763-24620</f>
        <v>1143</v>
      </c>
      <c r="L214" s="9">
        <f>41332-39305</f>
        <v>2027</v>
      </c>
      <c r="M214" s="9">
        <v>0</v>
      </c>
      <c r="N214" s="9">
        <f>160593-152229</f>
        <v>8364</v>
      </c>
      <c r="O214" s="9">
        <f>56446-54181</f>
        <v>2265</v>
      </c>
      <c r="P214" s="9">
        <f>176090-174939</f>
        <v>1151</v>
      </c>
      <c r="Q214" s="9">
        <f>140679-139590</f>
        <v>1089</v>
      </c>
      <c r="R214" s="9">
        <f>62934-61377</f>
        <v>1557</v>
      </c>
      <c r="S214" s="9">
        <f>73512-71748</f>
        <v>1764</v>
      </c>
      <c r="T214" s="9">
        <f t="shared" si="41"/>
        <v>30681</v>
      </c>
    </row>
    <row r="215" spans="1:20" ht="15.75">
      <c r="A215" s="13" t="s">
        <v>308</v>
      </c>
      <c r="B215" s="9">
        <v>941</v>
      </c>
      <c r="C215" s="9">
        <v>2832</v>
      </c>
      <c r="D215" s="9">
        <v>540</v>
      </c>
      <c r="E215" s="9">
        <v>3093</v>
      </c>
      <c r="F215" s="9">
        <v>9</v>
      </c>
      <c r="G215" s="9">
        <v>2022</v>
      </c>
      <c r="H215" s="9">
        <v>1111</v>
      </c>
      <c r="I215" s="9">
        <v>1391</v>
      </c>
      <c r="J215" s="9">
        <f>13+1588</f>
        <v>1601</v>
      </c>
      <c r="K215" s="9">
        <v>985</v>
      </c>
      <c r="L215" s="9">
        <v>1806</v>
      </c>
      <c r="M215" s="9">
        <v>0</v>
      </c>
      <c r="N215" s="9">
        <v>4628</v>
      </c>
      <c r="O215" s="9">
        <v>2349</v>
      </c>
      <c r="P215" s="9">
        <v>1331</v>
      </c>
      <c r="Q215" s="9">
        <v>5961</v>
      </c>
      <c r="R215" s="9">
        <v>1497</v>
      </c>
      <c r="S215" s="9">
        <v>1590</v>
      </c>
      <c r="T215" s="9">
        <f t="shared" si="41"/>
        <v>33687</v>
      </c>
    </row>
    <row r="216" spans="1:20" ht="15.75">
      <c r="A216" s="13" t="s">
        <v>309</v>
      </c>
      <c r="B216" s="9">
        <f>79656-78721</f>
        <v>935</v>
      </c>
      <c r="C216" s="9">
        <f>0</f>
        <v>0</v>
      </c>
      <c r="D216" s="9">
        <f>47339-46778</f>
        <v>561</v>
      </c>
      <c r="E216" s="9">
        <f>115172-111972</f>
        <v>3200</v>
      </c>
      <c r="F216" s="9">
        <f>3</f>
        <v>3</v>
      </c>
      <c r="G216" s="9">
        <f>20985-18929</f>
        <v>2056</v>
      </c>
      <c r="H216" s="9">
        <f>121814-120598</f>
        <v>1216</v>
      </c>
      <c r="I216" s="9">
        <f>61999-60703</f>
        <v>1296</v>
      </c>
      <c r="J216" s="9">
        <f>9992-9981+16750-15071</f>
        <v>1690</v>
      </c>
      <c r="K216" s="9">
        <f>27824-26748</f>
        <v>1076</v>
      </c>
      <c r="L216" s="9">
        <f>44808-43138</f>
        <v>1670</v>
      </c>
      <c r="M216" s="9">
        <f>0</f>
        <v>0</v>
      </c>
      <c r="N216" s="9">
        <f>170809-165221</f>
        <v>5588</v>
      </c>
      <c r="O216" s="9">
        <f>61261-58795</f>
        <v>2466</v>
      </c>
      <c r="P216" s="9">
        <f>178685-177421</f>
        <v>1264</v>
      </c>
      <c r="Q216" s="9">
        <v>0</v>
      </c>
      <c r="R216" s="9">
        <f>66010-64431</f>
        <v>1579</v>
      </c>
      <c r="S216" s="9">
        <f>76757-75102</f>
        <v>1655</v>
      </c>
      <c r="T216" s="9">
        <f t="shared" si="41"/>
        <v>26255</v>
      </c>
    </row>
    <row r="217" spans="1:20" ht="15.75">
      <c r="A217" s="13" t="s">
        <v>310</v>
      </c>
      <c r="B217" s="9">
        <v>895</v>
      </c>
      <c r="C217" s="9">
        <v>46</v>
      </c>
      <c r="D217" s="9">
        <v>492</v>
      </c>
      <c r="E217" s="9">
        <v>589</v>
      </c>
      <c r="F217" s="9">
        <v>1</v>
      </c>
      <c r="G217" s="9">
        <v>1715</v>
      </c>
      <c r="H217" s="9">
        <v>1066</v>
      </c>
      <c r="I217" s="9">
        <v>1256</v>
      </c>
      <c r="J217" s="9">
        <v>1370</v>
      </c>
      <c r="K217" s="9">
        <v>970</v>
      </c>
      <c r="L217" s="9">
        <v>1618</v>
      </c>
      <c r="M217" s="9">
        <v>14376</v>
      </c>
      <c r="N217" s="9">
        <v>6167</v>
      </c>
      <c r="O217" s="9">
        <v>2363</v>
      </c>
      <c r="P217" s="9">
        <v>1144</v>
      </c>
      <c r="Q217" s="9">
        <v>0</v>
      </c>
      <c r="R217" s="9">
        <v>1705</v>
      </c>
      <c r="S217" s="9">
        <v>1601</v>
      </c>
      <c r="T217" s="9">
        <f t="shared" si="41"/>
        <v>37374</v>
      </c>
    </row>
    <row r="218" spans="1:20" ht="15.75">
      <c r="A218" s="13" t="s">
        <v>311</v>
      </c>
      <c r="B218" s="9">
        <v>931</v>
      </c>
      <c r="C218" s="9">
        <v>0</v>
      </c>
      <c r="D218" s="9">
        <v>295</v>
      </c>
      <c r="E218" s="9">
        <v>0</v>
      </c>
      <c r="F218" s="9">
        <v>65</v>
      </c>
      <c r="G218" s="9">
        <v>1000</v>
      </c>
      <c r="H218" s="9">
        <v>351</v>
      </c>
      <c r="I218" s="9">
        <v>663</v>
      </c>
      <c r="J218" s="9">
        <v>661</v>
      </c>
      <c r="K218" s="9">
        <v>193</v>
      </c>
      <c r="L218" s="9">
        <v>1263</v>
      </c>
      <c r="M218" s="9">
        <v>4029</v>
      </c>
      <c r="N218" s="9">
        <v>4556</v>
      </c>
      <c r="O218" s="9">
        <v>1291</v>
      </c>
      <c r="P218" s="9">
        <v>901</v>
      </c>
      <c r="Q218" s="9">
        <v>0</v>
      </c>
      <c r="R218" s="9">
        <v>1595</v>
      </c>
      <c r="S218" s="9">
        <v>1061</v>
      </c>
      <c r="T218" s="9">
        <f t="shared" si="41"/>
        <v>18855</v>
      </c>
    </row>
    <row r="219" spans="1:20" ht="15.75">
      <c r="A219" s="13" t="s">
        <v>312</v>
      </c>
      <c r="B219" s="9">
        <v>862</v>
      </c>
      <c r="C219" s="9">
        <v>0</v>
      </c>
      <c r="D219" s="9">
        <v>319</v>
      </c>
      <c r="E219" s="9">
        <v>1056</v>
      </c>
      <c r="F219" s="9">
        <v>118</v>
      </c>
      <c r="G219" s="9">
        <v>834</v>
      </c>
      <c r="H219" s="9">
        <v>226</v>
      </c>
      <c r="I219" s="9">
        <v>624</v>
      </c>
      <c r="J219" s="9">
        <v>482</v>
      </c>
      <c r="K219" s="9">
        <v>259</v>
      </c>
      <c r="L219" s="9">
        <v>1097</v>
      </c>
      <c r="M219" s="9">
        <v>4151</v>
      </c>
      <c r="N219" s="9">
        <v>4394</v>
      </c>
      <c r="O219" s="9">
        <v>2707</v>
      </c>
      <c r="P219" s="9">
        <v>881</v>
      </c>
      <c r="Q219" s="9">
        <v>0</v>
      </c>
      <c r="R219" s="9">
        <v>1558</v>
      </c>
      <c r="S219" s="9">
        <v>847</v>
      </c>
      <c r="T219" s="9">
        <f t="shared" si="41"/>
        <v>20415</v>
      </c>
    </row>
    <row r="220" spans="1:20" ht="15.75">
      <c r="A220" s="13" t="s">
        <v>313</v>
      </c>
      <c r="B220" s="9">
        <v>941</v>
      </c>
      <c r="C220" s="9">
        <v>189</v>
      </c>
      <c r="D220" s="9">
        <v>380</v>
      </c>
      <c r="E220" s="9">
        <v>2538</v>
      </c>
      <c r="F220" s="9">
        <v>0</v>
      </c>
      <c r="G220" s="9">
        <v>1768</v>
      </c>
      <c r="H220" s="9">
        <v>43</v>
      </c>
      <c r="I220" s="9">
        <v>1109</v>
      </c>
      <c r="J220" s="9">
        <v>1128</v>
      </c>
      <c r="K220" s="9">
        <v>262</v>
      </c>
      <c r="L220" s="9">
        <v>132</v>
      </c>
      <c r="M220" s="9">
        <v>4468</v>
      </c>
      <c r="N220" s="9">
        <v>6074</v>
      </c>
      <c r="O220" s="9">
        <v>1932</v>
      </c>
      <c r="P220" s="9">
        <v>62</v>
      </c>
      <c r="Q220" s="9">
        <v>0</v>
      </c>
      <c r="R220" s="9">
        <v>1868</v>
      </c>
      <c r="S220" s="9">
        <v>1777</v>
      </c>
      <c r="T220" s="9">
        <f t="shared" si="41"/>
        <v>24671</v>
      </c>
    </row>
    <row r="221" spans="1:20" ht="15.75">
      <c r="A221" s="13" t="s">
        <v>314</v>
      </c>
      <c r="B221" s="9">
        <v>1109</v>
      </c>
      <c r="C221" s="9">
        <v>117</v>
      </c>
      <c r="D221" s="9">
        <v>574</v>
      </c>
      <c r="E221" s="9">
        <v>3015</v>
      </c>
      <c r="F221" s="9">
        <v>0</v>
      </c>
      <c r="G221" s="9">
        <v>2184</v>
      </c>
      <c r="H221" s="9">
        <v>1768</v>
      </c>
      <c r="I221" s="9">
        <v>1287</v>
      </c>
      <c r="J221" s="9">
        <v>1432</v>
      </c>
      <c r="K221" s="9">
        <v>1234</v>
      </c>
      <c r="L221" s="9">
        <v>513</v>
      </c>
      <c r="M221" s="9">
        <v>0</v>
      </c>
      <c r="N221" s="9">
        <v>0</v>
      </c>
      <c r="O221" s="9">
        <v>2519</v>
      </c>
      <c r="P221" s="9">
        <v>79</v>
      </c>
      <c r="Q221" s="9">
        <v>-174</v>
      </c>
      <c r="R221" s="9">
        <v>2096</v>
      </c>
      <c r="S221" s="9">
        <v>1829</v>
      </c>
      <c r="T221" s="9">
        <f t="shared" si="41"/>
        <v>19582</v>
      </c>
    </row>
    <row r="222" spans="1:20" ht="15.75">
      <c r="A222" s="13" t="s">
        <v>315</v>
      </c>
      <c r="B222" s="9">
        <v>2049</v>
      </c>
      <c r="C222" s="9">
        <v>130</v>
      </c>
      <c r="D222" s="9">
        <v>631</v>
      </c>
      <c r="E222" s="9">
        <v>2150</v>
      </c>
      <c r="F222" s="9">
        <v>2</v>
      </c>
      <c r="G222" s="9">
        <v>2411</v>
      </c>
      <c r="H222" s="9">
        <v>732</v>
      </c>
      <c r="I222" s="9">
        <v>1902</v>
      </c>
      <c r="J222" s="9">
        <v>1605</v>
      </c>
      <c r="K222" s="9">
        <v>1057</v>
      </c>
      <c r="L222" s="9">
        <v>169</v>
      </c>
      <c r="M222" s="9">
        <v>0</v>
      </c>
      <c r="N222" s="9">
        <v>15668</v>
      </c>
      <c r="O222" s="9">
        <v>2188</v>
      </c>
      <c r="P222" s="9">
        <v>55</v>
      </c>
      <c r="Q222" s="9">
        <v>1126</v>
      </c>
      <c r="R222" s="9">
        <v>2245</v>
      </c>
      <c r="S222" s="9">
        <v>2017</v>
      </c>
      <c r="T222" s="9">
        <f t="shared" si="41"/>
        <v>36137</v>
      </c>
    </row>
    <row r="223" spans="1:20" ht="15.75">
      <c r="A223" s="13" t="s">
        <v>316</v>
      </c>
      <c r="B223" s="54">
        <v>910</v>
      </c>
      <c r="C223" s="54">
        <v>80</v>
      </c>
      <c r="D223" s="54">
        <v>470</v>
      </c>
      <c r="E223" s="54">
        <v>4125</v>
      </c>
      <c r="F223" s="54">
        <v>0</v>
      </c>
      <c r="G223" s="54">
        <v>1</v>
      </c>
      <c r="H223" s="54">
        <v>1385</v>
      </c>
      <c r="I223" s="54">
        <v>575</v>
      </c>
      <c r="J223" s="54">
        <v>1236</v>
      </c>
      <c r="K223" s="54">
        <v>756</v>
      </c>
      <c r="L223" s="54">
        <v>167</v>
      </c>
      <c r="M223" s="54">
        <v>0</v>
      </c>
      <c r="N223" s="54">
        <v>6551</v>
      </c>
      <c r="O223" s="54">
        <v>1622</v>
      </c>
      <c r="P223" s="54">
        <v>118</v>
      </c>
      <c r="Q223" s="54">
        <v>912</v>
      </c>
      <c r="R223" s="54">
        <v>2421</v>
      </c>
      <c r="S223" s="54">
        <v>1442</v>
      </c>
      <c r="T223" s="9">
        <f t="shared" si="41"/>
        <v>22771</v>
      </c>
    </row>
    <row r="224" spans="1:20" ht="15.75">
      <c r="A224" s="43" t="s">
        <v>74</v>
      </c>
      <c r="B224" s="61">
        <f aca="true" t="shared" si="42" ref="B224:T224">SUM(B211:B223)</f>
        <v>12117</v>
      </c>
      <c r="C224" s="61">
        <f t="shared" si="42"/>
        <v>3394</v>
      </c>
      <c r="D224" s="61">
        <f t="shared" si="42"/>
        <v>5543</v>
      </c>
      <c r="E224" s="61">
        <f t="shared" si="42"/>
        <v>26777</v>
      </c>
      <c r="F224" s="61">
        <f t="shared" si="42"/>
        <v>299</v>
      </c>
      <c r="G224" s="61">
        <f t="shared" si="42"/>
        <v>19084</v>
      </c>
      <c r="H224" s="61">
        <f t="shared" si="42"/>
        <v>10508</v>
      </c>
      <c r="I224" s="61">
        <f t="shared" si="42"/>
        <v>13572</v>
      </c>
      <c r="J224" s="61">
        <f t="shared" si="42"/>
        <v>15161</v>
      </c>
      <c r="K224" s="61">
        <f t="shared" si="42"/>
        <v>9179</v>
      </c>
      <c r="L224" s="61">
        <f t="shared" si="42"/>
        <v>13423</v>
      </c>
      <c r="M224" s="61">
        <f t="shared" si="42"/>
        <v>27024</v>
      </c>
      <c r="N224" s="61">
        <f t="shared" si="42"/>
        <v>75755</v>
      </c>
      <c r="O224" s="61">
        <f t="shared" si="42"/>
        <v>24323</v>
      </c>
      <c r="P224" s="61">
        <f t="shared" si="42"/>
        <v>8827</v>
      </c>
      <c r="Q224" s="61">
        <f t="shared" si="42"/>
        <v>10223</v>
      </c>
      <c r="R224" s="61">
        <f t="shared" si="42"/>
        <v>20509</v>
      </c>
      <c r="S224" s="61">
        <f t="shared" si="42"/>
        <v>18553</v>
      </c>
      <c r="T224" s="61">
        <f t="shared" si="42"/>
        <v>314271</v>
      </c>
    </row>
    <row r="227" spans="1:20" ht="15.75">
      <c r="A227" s="9" t="s">
        <v>18</v>
      </c>
      <c r="B227" s="9" t="s">
        <v>72</v>
      </c>
      <c r="C227" s="9" t="s">
        <v>2</v>
      </c>
      <c r="D227" s="9" t="s">
        <v>3</v>
      </c>
      <c r="E227" s="9" t="s">
        <v>4</v>
      </c>
      <c r="F227" s="9" t="s">
        <v>5</v>
      </c>
      <c r="G227" s="9" t="s">
        <v>6</v>
      </c>
      <c r="H227" s="9" t="s">
        <v>7</v>
      </c>
      <c r="I227" s="9" t="s">
        <v>8</v>
      </c>
      <c r="J227" s="9" t="s">
        <v>9</v>
      </c>
      <c r="K227" s="9" t="s">
        <v>10</v>
      </c>
      <c r="L227" s="9" t="s">
        <v>11</v>
      </c>
      <c r="M227" s="9" t="s">
        <v>12</v>
      </c>
      <c r="N227" s="9" t="s">
        <v>13</v>
      </c>
      <c r="O227" s="9" t="s">
        <v>138</v>
      </c>
      <c r="P227" s="9" t="s">
        <v>15</v>
      </c>
      <c r="Q227" s="9" t="s">
        <v>16</v>
      </c>
      <c r="R227" s="9" t="s">
        <v>243</v>
      </c>
      <c r="S227" s="9" t="s">
        <v>244</v>
      </c>
      <c r="T227" s="10" t="s">
        <v>134</v>
      </c>
    </row>
    <row r="228" spans="1:20" ht="15.75">
      <c r="A228" s="13" t="s">
        <v>330</v>
      </c>
      <c r="B228" s="9">
        <v>1086</v>
      </c>
      <c r="C228" s="9">
        <v>101</v>
      </c>
      <c r="D228" s="9">
        <v>569</v>
      </c>
      <c r="E228" s="9">
        <v>3452</v>
      </c>
      <c r="F228" s="9">
        <v>0</v>
      </c>
      <c r="G228" s="9">
        <v>78</v>
      </c>
      <c r="H228" s="9">
        <v>1082</v>
      </c>
      <c r="I228" s="9">
        <v>1416</v>
      </c>
      <c r="J228" s="9">
        <v>1535</v>
      </c>
      <c r="K228" s="9">
        <v>954</v>
      </c>
      <c r="L228" s="9">
        <v>165</v>
      </c>
      <c r="M228" s="9">
        <v>5585</v>
      </c>
      <c r="N228" s="9">
        <v>23614</v>
      </c>
      <c r="O228" s="9">
        <v>2609</v>
      </c>
      <c r="P228" s="9">
        <v>233</v>
      </c>
      <c r="Q228" s="9">
        <v>990</v>
      </c>
      <c r="R228" s="9">
        <v>1456</v>
      </c>
      <c r="S228" s="9">
        <v>1866</v>
      </c>
      <c r="T228" s="9">
        <f>SUM(B228:S228)</f>
        <v>46791</v>
      </c>
    </row>
    <row r="229" spans="1:20" ht="15.75">
      <c r="A229" s="13" t="s">
        <v>331</v>
      </c>
      <c r="B229" s="9">
        <v>663</v>
      </c>
      <c r="C229" s="54">
        <v>49</v>
      </c>
      <c r="D229" s="9">
        <v>249</v>
      </c>
      <c r="E229" s="9">
        <v>1604</v>
      </c>
      <c r="F229" s="9">
        <v>0</v>
      </c>
      <c r="G229" s="9">
        <v>1</v>
      </c>
      <c r="H229" s="9">
        <v>481</v>
      </c>
      <c r="I229" s="9">
        <v>488</v>
      </c>
      <c r="J229" s="9">
        <v>627</v>
      </c>
      <c r="K229" s="9">
        <v>405</v>
      </c>
      <c r="L229" s="9">
        <v>680</v>
      </c>
      <c r="M229" s="9">
        <v>3022</v>
      </c>
      <c r="N229" s="9">
        <v>20663</v>
      </c>
      <c r="O229" s="9">
        <v>303</v>
      </c>
      <c r="P229" s="9">
        <v>595</v>
      </c>
      <c r="Q229" s="9">
        <v>416</v>
      </c>
      <c r="R229" s="9">
        <v>1302</v>
      </c>
      <c r="S229" s="9">
        <v>949</v>
      </c>
      <c r="T229" s="9">
        <f aca="true" t="shared" si="43" ref="T229:T239">SUM(B229:S229)</f>
        <v>32497</v>
      </c>
    </row>
    <row r="230" spans="1:20" ht="15.75">
      <c r="A230" s="13" t="s">
        <v>332</v>
      </c>
      <c r="B230" s="9">
        <v>1093</v>
      </c>
      <c r="C230" s="54">
        <v>123</v>
      </c>
      <c r="D230" s="9">
        <v>575</v>
      </c>
      <c r="E230" s="9">
        <v>3685</v>
      </c>
      <c r="F230" s="9">
        <v>0</v>
      </c>
      <c r="G230" s="9">
        <v>2254</v>
      </c>
      <c r="H230" s="9">
        <v>1289</v>
      </c>
      <c r="I230" s="9">
        <v>1481</v>
      </c>
      <c r="J230" s="9">
        <v>1652</v>
      </c>
      <c r="K230" s="9">
        <v>1181</v>
      </c>
      <c r="L230" s="9">
        <v>2228</v>
      </c>
      <c r="M230" s="9">
        <v>5550</v>
      </c>
      <c r="N230" s="9">
        <v>3267</v>
      </c>
      <c r="O230" s="9">
        <v>1241</v>
      </c>
      <c r="P230" s="9">
        <v>1498</v>
      </c>
      <c r="Q230" s="9">
        <v>1221</v>
      </c>
      <c r="R230" s="9">
        <v>2160</v>
      </c>
      <c r="S230" s="9">
        <v>2222</v>
      </c>
      <c r="T230" s="9">
        <f t="shared" si="43"/>
        <v>32720</v>
      </c>
    </row>
    <row r="231" spans="1:20" ht="15.75">
      <c r="A231" s="13" t="s">
        <v>333</v>
      </c>
      <c r="B231" s="9">
        <v>1105</v>
      </c>
      <c r="C231" s="9">
        <v>96</v>
      </c>
      <c r="D231" s="9">
        <v>502</v>
      </c>
      <c r="E231" s="9">
        <v>3119</v>
      </c>
      <c r="F231" s="9">
        <v>0</v>
      </c>
      <c r="G231" s="9">
        <v>1724</v>
      </c>
      <c r="H231" s="9">
        <v>892</v>
      </c>
      <c r="I231" s="9">
        <v>1200</v>
      </c>
      <c r="J231" s="9">
        <v>1379</v>
      </c>
      <c r="K231" s="9">
        <v>966</v>
      </c>
      <c r="L231" s="9">
        <v>1817</v>
      </c>
      <c r="M231" s="9">
        <v>4575</v>
      </c>
      <c r="N231" s="9">
        <v>497</v>
      </c>
      <c r="O231" s="9">
        <v>218</v>
      </c>
      <c r="P231" s="9">
        <v>1297</v>
      </c>
      <c r="Q231" s="9">
        <v>1136</v>
      </c>
      <c r="R231" s="9">
        <v>1875</v>
      </c>
      <c r="S231" s="9">
        <v>1884</v>
      </c>
      <c r="T231" s="9">
        <f t="shared" si="43"/>
        <v>24282</v>
      </c>
    </row>
    <row r="232" spans="1:20" ht="15.75">
      <c r="A232" s="13" t="s">
        <v>334</v>
      </c>
      <c r="B232" s="9">
        <v>7937</v>
      </c>
      <c r="C232" s="9">
        <v>110</v>
      </c>
      <c r="D232" s="9">
        <v>498</v>
      </c>
      <c r="E232" s="9">
        <v>2938</v>
      </c>
      <c r="F232" s="9">
        <v>0</v>
      </c>
      <c r="G232" s="9">
        <v>1920</v>
      </c>
      <c r="H232" s="9">
        <v>1268</v>
      </c>
      <c r="I232" s="9">
        <v>1203</v>
      </c>
      <c r="J232" s="9">
        <v>1384</v>
      </c>
      <c r="K232" s="9">
        <v>1049</v>
      </c>
      <c r="L232" s="9">
        <v>1918</v>
      </c>
      <c r="M232" s="9">
        <v>4502</v>
      </c>
      <c r="N232" s="9">
        <v>54</v>
      </c>
      <c r="O232" s="9">
        <v>2162</v>
      </c>
      <c r="P232" s="9">
        <v>1413</v>
      </c>
      <c r="Q232" s="9">
        <v>1229</v>
      </c>
      <c r="R232" s="9">
        <v>1916</v>
      </c>
      <c r="S232" s="9">
        <v>1907</v>
      </c>
      <c r="T232" s="9">
        <f t="shared" si="43"/>
        <v>33408</v>
      </c>
    </row>
    <row r="233" spans="1:20" ht="15.75">
      <c r="A233" s="13" t="s">
        <v>335</v>
      </c>
      <c r="B233" s="9">
        <v>947</v>
      </c>
      <c r="C233" s="9">
        <v>98</v>
      </c>
      <c r="D233" s="9">
        <v>475</v>
      </c>
      <c r="E233" s="9">
        <v>2602</v>
      </c>
      <c r="F233" s="9">
        <v>0</v>
      </c>
      <c r="G233" s="9">
        <v>1622</v>
      </c>
      <c r="H233" s="9">
        <v>1008</v>
      </c>
      <c r="I233" s="9">
        <v>1106</v>
      </c>
      <c r="J233" s="9">
        <v>1304</v>
      </c>
      <c r="K233" s="9">
        <v>923</v>
      </c>
      <c r="L233" s="9">
        <v>1750</v>
      </c>
      <c r="M233" s="9">
        <v>4772</v>
      </c>
      <c r="N233" s="9">
        <v>68</v>
      </c>
      <c r="O233" s="9">
        <v>1551</v>
      </c>
      <c r="P233" s="9">
        <v>1100</v>
      </c>
      <c r="Q233" s="9">
        <v>1071</v>
      </c>
      <c r="R233" s="9">
        <v>1860</v>
      </c>
      <c r="S233" s="9">
        <v>1914</v>
      </c>
      <c r="T233" s="9">
        <f t="shared" si="43"/>
        <v>24171</v>
      </c>
    </row>
    <row r="234" spans="1:20" ht="15.75">
      <c r="A234" s="13" t="s">
        <v>336</v>
      </c>
      <c r="B234" s="9">
        <v>0</v>
      </c>
      <c r="C234" s="9">
        <v>64</v>
      </c>
      <c r="D234" s="9">
        <v>225</v>
      </c>
      <c r="E234" s="9">
        <v>1306</v>
      </c>
      <c r="F234" s="9">
        <v>0</v>
      </c>
      <c r="G234" s="9">
        <v>1030</v>
      </c>
      <c r="H234" s="9">
        <v>158</v>
      </c>
      <c r="I234" s="9">
        <v>475</v>
      </c>
      <c r="J234" s="9">
        <v>548</v>
      </c>
      <c r="K234" s="9">
        <v>122</v>
      </c>
      <c r="L234" s="9">
        <v>844</v>
      </c>
      <c r="M234" s="9">
        <v>4323</v>
      </c>
      <c r="N234" s="9">
        <v>79</v>
      </c>
      <c r="O234" s="9">
        <v>900</v>
      </c>
      <c r="P234" s="9">
        <v>963</v>
      </c>
      <c r="Q234" s="9">
        <v>685</v>
      </c>
      <c r="R234" s="9">
        <v>1582</v>
      </c>
      <c r="S234" s="9">
        <v>885</v>
      </c>
      <c r="T234" s="9">
        <f t="shared" si="43"/>
        <v>14189</v>
      </c>
    </row>
    <row r="235" spans="1:20" ht="15.75">
      <c r="A235" s="13" t="s">
        <v>337</v>
      </c>
      <c r="B235" s="9">
        <v>0</v>
      </c>
      <c r="C235" s="9">
        <v>51</v>
      </c>
      <c r="D235" s="9">
        <v>193</v>
      </c>
      <c r="E235" s="9">
        <v>948</v>
      </c>
      <c r="F235" s="9">
        <v>0</v>
      </c>
      <c r="G235" s="9">
        <v>798</v>
      </c>
      <c r="H235" s="9">
        <v>29</v>
      </c>
      <c r="I235" s="9">
        <v>214</v>
      </c>
      <c r="J235" s="9">
        <v>380</v>
      </c>
      <c r="K235" s="9">
        <v>223</v>
      </c>
      <c r="L235" s="9">
        <v>905</v>
      </c>
      <c r="M235" s="9">
        <v>4026</v>
      </c>
      <c r="N235" s="9">
        <v>4213</v>
      </c>
      <c r="O235" s="9">
        <v>703</v>
      </c>
      <c r="P235" s="9">
        <v>675</v>
      </c>
      <c r="Q235" s="9">
        <v>659</v>
      </c>
      <c r="R235" s="9">
        <v>1457</v>
      </c>
      <c r="S235" s="9">
        <v>940</v>
      </c>
      <c r="T235" s="9">
        <f t="shared" si="43"/>
        <v>16414</v>
      </c>
    </row>
    <row r="236" spans="1:20" ht="15.75">
      <c r="A236" s="13" t="s">
        <v>338</v>
      </c>
      <c r="B236" s="9">
        <v>0</v>
      </c>
      <c r="C236" s="9">
        <v>85</v>
      </c>
      <c r="D236" s="9">
        <v>316</v>
      </c>
      <c r="E236" s="9">
        <v>1996</v>
      </c>
      <c r="F236" s="9">
        <v>0</v>
      </c>
      <c r="G236" s="9">
        <v>1572</v>
      </c>
      <c r="H236" s="9">
        <v>90</v>
      </c>
      <c r="I236" s="9">
        <v>789</v>
      </c>
      <c r="J236" s="9">
        <v>952</v>
      </c>
      <c r="K236" s="9">
        <v>660</v>
      </c>
      <c r="L236" s="9">
        <v>1171</v>
      </c>
      <c r="M236" s="9">
        <v>4079</v>
      </c>
      <c r="N236" s="9">
        <v>5985</v>
      </c>
      <c r="O236" s="9">
        <v>1322</v>
      </c>
      <c r="P236" s="9">
        <v>960</v>
      </c>
      <c r="Q236" s="9">
        <v>1044</v>
      </c>
      <c r="R236" s="9">
        <v>1456</v>
      </c>
      <c r="S236" s="9">
        <v>1603</v>
      </c>
      <c r="T236" s="9">
        <f t="shared" si="43"/>
        <v>24080</v>
      </c>
    </row>
    <row r="237" spans="1:20" ht="15.75">
      <c r="A237" s="13" t="s">
        <v>339</v>
      </c>
      <c r="B237" s="9">
        <v>944</v>
      </c>
      <c r="C237" s="9">
        <v>124</v>
      </c>
      <c r="D237" s="9">
        <v>505</v>
      </c>
      <c r="E237" s="9">
        <v>2820</v>
      </c>
      <c r="F237" s="9">
        <v>0</v>
      </c>
      <c r="G237" s="9">
        <v>1593</v>
      </c>
      <c r="H237" s="9">
        <v>143</v>
      </c>
      <c r="I237" s="9">
        <v>1279</v>
      </c>
      <c r="J237" s="9">
        <v>1306</v>
      </c>
      <c r="K237" s="9">
        <v>1021</v>
      </c>
      <c r="L237" s="9">
        <v>1661</v>
      </c>
      <c r="M237" s="9">
        <v>4567</v>
      </c>
      <c r="N237" s="9">
        <v>7942</v>
      </c>
      <c r="O237" s="9">
        <v>2093</v>
      </c>
      <c r="P237" s="9">
        <v>1324</v>
      </c>
      <c r="Q237" s="9">
        <v>1292</v>
      </c>
      <c r="R237" s="9">
        <v>1766</v>
      </c>
      <c r="S237" s="9">
        <v>1844</v>
      </c>
      <c r="T237" s="9">
        <f t="shared" si="43"/>
        <v>32224</v>
      </c>
    </row>
    <row r="238" spans="1:20" ht="15.75">
      <c r="A238" s="13" t="s">
        <v>340</v>
      </c>
      <c r="B238" s="9">
        <v>918</v>
      </c>
      <c r="C238" s="9">
        <v>106</v>
      </c>
      <c r="D238" s="9">
        <v>538</v>
      </c>
      <c r="E238" s="9">
        <v>3016</v>
      </c>
      <c r="F238" s="9">
        <v>0</v>
      </c>
      <c r="G238" s="9">
        <v>2020</v>
      </c>
      <c r="H238" s="9">
        <v>95</v>
      </c>
      <c r="I238" s="9">
        <v>1200</v>
      </c>
      <c r="J238" s="9">
        <v>1346</v>
      </c>
      <c r="K238" s="9">
        <v>1115</v>
      </c>
      <c r="L238" s="9">
        <v>1877</v>
      </c>
      <c r="M238" s="9">
        <v>4670</v>
      </c>
      <c r="N238" s="9">
        <v>6197</v>
      </c>
      <c r="O238" s="9">
        <v>2140</v>
      </c>
      <c r="P238" s="9">
        <v>1348</v>
      </c>
      <c r="Q238" s="9">
        <v>1371</v>
      </c>
      <c r="R238" s="9">
        <v>1745</v>
      </c>
      <c r="S238" s="9">
        <v>1944</v>
      </c>
      <c r="T238" s="9">
        <f t="shared" si="43"/>
        <v>31646</v>
      </c>
    </row>
    <row r="239" spans="1:20" ht="15.75">
      <c r="A239" s="13" t="s">
        <v>341</v>
      </c>
      <c r="B239" s="54">
        <v>1018</v>
      </c>
      <c r="C239" s="54">
        <v>101</v>
      </c>
      <c r="D239" s="54">
        <v>577</v>
      </c>
      <c r="E239" s="54">
        <v>3202</v>
      </c>
      <c r="F239" s="54">
        <v>0</v>
      </c>
      <c r="G239" s="54">
        <v>2004</v>
      </c>
      <c r="H239" s="54">
        <v>125</v>
      </c>
      <c r="I239" s="54">
        <v>1774</v>
      </c>
      <c r="J239" s="54">
        <v>1470</v>
      </c>
      <c r="K239" s="54">
        <v>1081</v>
      </c>
      <c r="L239" s="54">
        <v>1833</v>
      </c>
      <c r="M239" s="54">
        <v>5026</v>
      </c>
      <c r="N239" s="54">
        <v>10081</v>
      </c>
      <c r="O239" s="54">
        <v>2175</v>
      </c>
      <c r="P239" s="54">
        <v>1430</v>
      </c>
      <c r="Q239" s="54">
        <v>1203</v>
      </c>
      <c r="R239" s="54">
        <v>1716</v>
      </c>
      <c r="S239" s="54">
        <v>1956</v>
      </c>
      <c r="T239" s="9">
        <f t="shared" si="43"/>
        <v>36772</v>
      </c>
    </row>
    <row r="240" spans="1:20" ht="15.75">
      <c r="A240" s="43" t="s">
        <v>74</v>
      </c>
      <c r="B240" s="61">
        <f aca="true" t="shared" si="44" ref="B240:T240">SUM(B227:B239)</f>
        <v>15711</v>
      </c>
      <c r="C240" s="61">
        <f t="shared" si="44"/>
        <v>1108</v>
      </c>
      <c r="D240" s="61">
        <f t="shared" si="44"/>
        <v>5222</v>
      </c>
      <c r="E240" s="61">
        <f t="shared" si="44"/>
        <v>30688</v>
      </c>
      <c r="F240" s="61">
        <f t="shared" si="44"/>
        <v>0</v>
      </c>
      <c r="G240" s="61">
        <f t="shared" si="44"/>
        <v>16616</v>
      </c>
      <c r="H240" s="61">
        <f t="shared" si="44"/>
        <v>6660</v>
      </c>
      <c r="I240" s="61">
        <f t="shared" si="44"/>
        <v>12625</v>
      </c>
      <c r="J240" s="61">
        <f t="shared" si="44"/>
        <v>13883</v>
      </c>
      <c r="K240" s="61">
        <f t="shared" si="44"/>
        <v>9700</v>
      </c>
      <c r="L240" s="61">
        <f t="shared" si="44"/>
        <v>16849</v>
      </c>
      <c r="M240" s="61">
        <f t="shared" si="44"/>
        <v>54697</v>
      </c>
      <c r="N240" s="61">
        <f t="shared" si="44"/>
        <v>82660</v>
      </c>
      <c r="O240" s="61">
        <f t="shared" si="44"/>
        <v>17417</v>
      </c>
      <c r="P240" s="61">
        <f t="shared" si="44"/>
        <v>12836</v>
      </c>
      <c r="Q240" s="61">
        <f t="shared" si="44"/>
        <v>12317</v>
      </c>
      <c r="R240" s="61">
        <f t="shared" si="44"/>
        <v>20291</v>
      </c>
      <c r="S240" s="61">
        <f t="shared" si="44"/>
        <v>19914</v>
      </c>
      <c r="T240" s="61">
        <f t="shared" si="44"/>
        <v>349194</v>
      </c>
    </row>
    <row r="243" spans="1:20" ht="15.75">
      <c r="A243" s="9" t="s">
        <v>18</v>
      </c>
      <c r="B243" s="9" t="s">
        <v>72</v>
      </c>
      <c r="C243" s="9" t="s">
        <v>2</v>
      </c>
      <c r="D243" s="9" t="s">
        <v>3</v>
      </c>
      <c r="E243" s="9" t="s">
        <v>4</v>
      </c>
      <c r="F243" s="9" t="s">
        <v>5</v>
      </c>
      <c r="G243" s="9" t="s">
        <v>6</v>
      </c>
      <c r="H243" s="9" t="s">
        <v>7</v>
      </c>
      <c r="I243" s="9" t="s">
        <v>8</v>
      </c>
      <c r="J243" s="9" t="s">
        <v>9</v>
      </c>
      <c r="K243" s="9" t="s">
        <v>10</v>
      </c>
      <c r="L243" s="9" t="s">
        <v>11</v>
      </c>
      <c r="M243" s="9" t="s">
        <v>12</v>
      </c>
      <c r="N243" s="9" t="s">
        <v>13</v>
      </c>
      <c r="O243" s="9" t="s">
        <v>69</v>
      </c>
      <c r="P243" s="9" t="s">
        <v>15</v>
      </c>
      <c r="Q243" s="9" t="s">
        <v>16</v>
      </c>
      <c r="R243" s="9" t="s">
        <v>217</v>
      </c>
      <c r="S243" s="9" t="s">
        <v>218</v>
      </c>
      <c r="T243" s="10" t="s">
        <v>68</v>
      </c>
    </row>
    <row r="244" spans="1:20" ht="15.75">
      <c r="A244" s="13" t="s">
        <v>355</v>
      </c>
      <c r="B244" s="9">
        <v>1229</v>
      </c>
      <c r="C244" s="9">
        <v>75</v>
      </c>
      <c r="D244" s="9">
        <v>415</v>
      </c>
      <c r="E244" s="9">
        <v>2066</v>
      </c>
      <c r="F244" s="9">
        <v>0</v>
      </c>
      <c r="G244" s="9">
        <v>1492</v>
      </c>
      <c r="H244" s="9">
        <v>75</v>
      </c>
      <c r="I244" s="9">
        <v>950</v>
      </c>
      <c r="J244" s="9">
        <v>1114</v>
      </c>
      <c r="K244" s="9">
        <v>742</v>
      </c>
      <c r="L244" s="9">
        <v>1236</v>
      </c>
      <c r="M244" s="9">
        <v>5369</v>
      </c>
      <c r="N244" s="9">
        <v>6835</v>
      </c>
      <c r="O244" s="9">
        <v>1624</v>
      </c>
      <c r="P244" s="9">
        <v>1065</v>
      </c>
      <c r="Q244" s="9">
        <v>697</v>
      </c>
      <c r="R244" s="9">
        <v>1685</v>
      </c>
      <c r="S244" s="9">
        <v>1584</v>
      </c>
      <c r="T244" s="9">
        <f>SUM(B244:S244)</f>
        <v>28253</v>
      </c>
    </row>
    <row r="245" spans="1:20" ht="15.75">
      <c r="A245" s="13" t="s">
        <v>356</v>
      </c>
      <c r="B245" s="9">
        <v>65</v>
      </c>
      <c r="C245" s="54">
        <v>55</v>
      </c>
      <c r="D245" s="9">
        <v>333</v>
      </c>
      <c r="E245" s="9">
        <v>1881</v>
      </c>
      <c r="F245" s="9">
        <v>0</v>
      </c>
      <c r="G245" s="9">
        <v>1100</v>
      </c>
      <c r="H245" s="9">
        <v>62</v>
      </c>
      <c r="I245" s="9">
        <v>699</v>
      </c>
      <c r="J245" s="9">
        <v>904</v>
      </c>
      <c r="K245" s="9">
        <v>570</v>
      </c>
      <c r="L245" s="9">
        <v>1040</v>
      </c>
      <c r="M245" s="9">
        <v>3304</v>
      </c>
      <c r="N245" s="9">
        <v>6430</v>
      </c>
      <c r="O245" s="9">
        <v>1335</v>
      </c>
      <c r="P245" s="9">
        <v>963</v>
      </c>
      <c r="Q245" s="9">
        <v>799</v>
      </c>
      <c r="R245" s="9">
        <v>1281</v>
      </c>
      <c r="S245" s="9">
        <v>2334</v>
      </c>
      <c r="T245" s="9">
        <f aca="true" t="shared" si="45" ref="T245:T255">SUM(B245:S245)</f>
        <v>23155</v>
      </c>
    </row>
    <row r="246" spans="1:20" ht="15.75">
      <c r="A246" s="13" t="s">
        <v>357</v>
      </c>
      <c r="B246" s="9">
        <v>95</v>
      </c>
      <c r="C246" s="54">
        <v>123</v>
      </c>
      <c r="D246" s="9">
        <v>531</v>
      </c>
      <c r="E246" s="9">
        <v>4946</v>
      </c>
      <c r="F246" s="9">
        <v>0</v>
      </c>
      <c r="G246" s="9">
        <v>1747</v>
      </c>
      <c r="H246" s="9">
        <v>61</v>
      </c>
      <c r="I246" s="9">
        <v>1457</v>
      </c>
      <c r="J246" s="9">
        <v>1355</v>
      </c>
      <c r="K246" s="9">
        <v>1028</v>
      </c>
      <c r="L246" s="9">
        <v>1820</v>
      </c>
      <c r="M246" s="9">
        <v>4839</v>
      </c>
      <c r="N246" s="9">
        <v>7758</v>
      </c>
      <c r="O246" s="9">
        <v>2176</v>
      </c>
      <c r="P246" s="9">
        <v>1346</v>
      </c>
      <c r="Q246" s="9">
        <v>939</v>
      </c>
      <c r="R246" s="9">
        <v>1752</v>
      </c>
      <c r="S246" s="9">
        <v>1953</v>
      </c>
      <c r="T246" s="9">
        <f t="shared" si="45"/>
        <v>33926</v>
      </c>
    </row>
    <row r="247" spans="1:20" ht="15.75">
      <c r="A247" s="13" t="s">
        <v>358</v>
      </c>
      <c r="B247" s="9">
        <v>89</v>
      </c>
      <c r="C247" s="9">
        <v>116</v>
      </c>
      <c r="D247" s="9">
        <v>488</v>
      </c>
      <c r="E247" s="9">
        <v>503</v>
      </c>
      <c r="F247" s="9">
        <v>0</v>
      </c>
      <c r="G247" s="9">
        <v>1626</v>
      </c>
      <c r="H247" s="9">
        <v>48</v>
      </c>
      <c r="I247" s="9">
        <v>1109</v>
      </c>
      <c r="J247" s="9">
        <v>1209</v>
      </c>
      <c r="K247" s="9">
        <v>911</v>
      </c>
      <c r="L247" s="9">
        <v>1610</v>
      </c>
      <c r="M247" s="9">
        <v>4294</v>
      </c>
      <c r="N247" s="9">
        <v>8818</v>
      </c>
      <c r="O247" s="9">
        <v>2160</v>
      </c>
      <c r="P247" s="9">
        <v>1361</v>
      </c>
      <c r="Q247" s="9">
        <v>1077</v>
      </c>
      <c r="R247" s="9">
        <v>1543</v>
      </c>
      <c r="S247" s="9">
        <v>1811</v>
      </c>
      <c r="T247" s="9">
        <f t="shared" si="45"/>
        <v>28773</v>
      </c>
    </row>
    <row r="248" spans="1:20" ht="15.75">
      <c r="A248" s="13" t="s">
        <v>359</v>
      </c>
      <c r="B248" s="9">
        <v>95</v>
      </c>
      <c r="C248" s="9">
        <v>156</v>
      </c>
      <c r="D248" s="9">
        <v>502</v>
      </c>
      <c r="E248" s="9">
        <v>3149</v>
      </c>
      <c r="F248" s="9">
        <v>0</v>
      </c>
      <c r="G248" s="9">
        <v>1805</v>
      </c>
      <c r="H248" s="9">
        <v>71</v>
      </c>
      <c r="I248" s="9">
        <v>1310</v>
      </c>
      <c r="J248" s="9">
        <v>1267</v>
      </c>
      <c r="K248" s="9">
        <v>1012</v>
      </c>
      <c r="L248" s="9">
        <v>1691</v>
      </c>
      <c r="M248" s="9">
        <v>4430</v>
      </c>
      <c r="N248" s="9">
        <v>8411</v>
      </c>
      <c r="O248" s="9">
        <v>2153</v>
      </c>
      <c r="P248" s="9">
        <v>1433</v>
      </c>
      <c r="Q248" s="9">
        <v>971</v>
      </c>
      <c r="R248" s="9">
        <v>1545</v>
      </c>
      <c r="S248" s="9">
        <v>1971</v>
      </c>
      <c r="T248" s="9">
        <f t="shared" si="45"/>
        <v>31972</v>
      </c>
    </row>
    <row r="249" spans="1:20" ht="15.75">
      <c r="A249" s="13" t="s">
        <v>360</v>
      </c>
      <c r="B249" s="9">
        <v>79</v>
      </c>
      <c r="C249" s="9">
        <v>177</v>
      </c>
      <c r="D249" s="9">
        <v>381</v>
      </c>
      <c r="E249" s="9">
        <v>2437</v>
      </c>
      <c r="F249" s="9">
        <v>0</v>
      </c>
      <c r="G249" s="9">
        <v>1378</v>
      </c>
      <c r="H249" s="9">
        <v>63</v>
      </c>
      <c r="I249" s="9">
        <v>934</v>
      </c>
      <c r="J249" s="9">
        <v>1032</v>
      </c>
      <c r="K249" s="9">
        <v>787</v>
      </c>
      <c r="L249" s="9">
        <v>1383</v>
      </c>
      <c r="M249" s="9">
        <v>4080</v>
      </c>
      <c r="N249" s="9">
        <v>6652</v>
      </c>
      <c r="O249" s="9">
        <v>1804</v>
      </c>
      <c r="P249" s="9">
        <v>1162</v>
      </c>
      <c r="Q249" s="9">
        <v>769</v>
      </c>
      <c r="R249" s="9">
        <v>1511</v>
      </c>
      <c r="S249" s="9">
        <v>1813</v>
      </c>
      <c r="T249" s="9">
        <f t="shared" si="45"/>
        <v>26442</v>
      </c>
    </row>
    <row r="250" spans="1:20" ht="15.75">
      <c r="A250" s="13" t="s">
        <v>361</v>
      </c>
      <c r="B250" s="9">
        <v>90</v>
      </c>
      <c r="C250" s="9">
        <v>89</v>
      </c>
      <c r="D250" s="9">
        <v>167</v>
      </c>
      <c r="E250" s="9">
        <v>5</v>
      </c>
      <c r="F250" s="9">
        <v>0</v>
      </c>
      <c r="G250" s="9">
        <v>753</v>
      </c>
      <c r="H250" s="9">
        <v>80</v>
      </c>
      <c r="I250" s="9">
        <v>305</v>
      </c>
      <c r="J250" s="9">
        <v>672</v>
      </c>
      <c r="K250" s="9">
        <v>152</v>
      </c>
      <c r="L250" s="9">
        <v>725</v>
      </c>
      <c r="M250" s="9">
        <v>4451</v>
      </c>
      <c r="N250" s="9">
        <v>557</v>
      </c>
      <c r="O250" s="9">
        <v>1074</v>
      </c>
      <c r="P250" s="9">
        <v>784</v>
      </c>
      <c r="Q250" s="9">
        <v>496</v>
      </c>
      <c r="R250" s="9">
        <v>1324</v>
      </c>
      <c r="S250" s="9">
        <v>2015</v>
      </c>
      <c r="T250" s="9">
        <f t="shared" si="45"/>
        <v>13739</v>
      </c>
    </row>
    <row r="251" spans="1:20" ht="15.75">
      <c r="A251" s="13" t="s">
        <v>362</v>
      </c>
      <c r="B251" s="9">
        <v>87</v>
      </c>
      <c r="C251" s="9">
        <v>100</v>
      </c>
      <c r="D251" s="9">
        <v>153</v>
      </c>
      <c r="E251" s="9">
        <v>2211</v>
      </c>
      <c r="F251" s="9">
        <v>0</v>
      </c>
      <c r="G251" s="9">
        <v>719</v>
      </c>
      <c r="H251" s="9">
        <v>96</v>
      </c>
      <c r="I251" s="9">
        <v>88</v>
      </c>
      <c r="J251" s="9">
        <v>609</v>
      </c>
      <c r="K251" s="9">
        <v>150</v>
      </c>
      <c r="L251" s="9">
        <v>855</v>
      </c>
      <c r="M251" s="9">
        <v>4433</v>
      </c>
      <c r="N251" s="9">
        <v>3322</v>
      </c>
      <c r="O251" s="9">
        <v>825</v>
      </c>
      <c r="P251" s="9">
        <v>600</v>
      </c>
      <c r="Q251" s="9">
        <v>476</v>
      </c>
      <c r="R251" s="9">
        <v>1321</v>
      </c>
      <c r="S251" s="9">
        <v>1969</v>
      </c>
      <c r="T251" s="9">
        <f t="shared" si="45"/>
        <v>18014</v>
      </c>
    </row>
    <row r="252" spans="1:20" ht="15.75">
      <c r="A252" s="13" t="s">
        <v>363</v>
      </c>
      <c r="B252" s="9">
        <v>75</v>
      </c>
      <c r="C252" s="9">
        <v>100</v>
      </c>
      <c r="D252" s="9">
        <v>242</v>
      </c>
      <c r="E252" s="9">
        <v>2200</v>
      </c>
      <c r="F252" s="9">
        <v>0</v>
      </c>
      <c r="G252" s="9">
        <v>1255</v>
      </c>
      <c r="H252" s="9">
        <v>1000</v>
      </c>
      <c r="I252" s="9">
        <v>710</v>
      </c>
      <c r="J252" s="9">
        <v>916</v>
      </c>
      <c r="K252" s="9">
        <v>724</v>
      </c>
      <c r="L252" s="9">
        <v>1187</v>
      </c>
      <c r="M252" s="9">
        <v>3946</v>
      </c>
      <c r="N252" s="9">
        <v>687</v>
      </c>
      <c r="O252" s="9">
        <v>1581</v>
      </c>
      <c r="P252" s="9">
        <v>1004</v>
      </c>
      <c r="Q252" s="9">
        <v>782</v>
      </c>
      <c r="R252" s="9">
        <v>1554</v>
      </c>
      <c r="S252" s="9">
        <v>1662</v>
      </c>
      <c r="T252" s="9">
        <f t="shared" si="45"/>
        <v>19625</v>
      </c>
    </row>
    <row r="253" spans="1:20" ht="15.75">
      <c r="A253" s="13" t="s">
        <v>364</v>
      </c>
      <c r="B253" s="9">
        <v>95</v>
      </c>
      <c r="C253" s="9">
        <v>138</v>
      </c>
      <c r="D253" s="9">
        <v>362</v>
      </c>
      <c r="E253" s="9">
        <v>2913</v>
      </c>
      <c r="F253" s="9">
        <v>0</v>
      </c>
      <c r="G253" s="9">
        <v>1751</v>
      </c>
      <c r="H253" s="9">
        <v>999</v>
      </c>
      <c r="I253" s="9">
        <v>1198</v>
      </c>
      <c r="J253" s="9">
        <v>1130</v>
      </c>
      <c r="K253" s="9">
        <v>1050</v>
      </c>
      <c r="L253" s="9">
        <v>1233</v>
      </c>
      <c r="M253" s="9">
        <v>4626</v>
      </c>
      <c r="N253" s="9">
        <v>503</v>
      </c>
      <c r="O253" s="9">
        <v>2353</v>
      </c>
      <c r="P253" s="9">
        <v>1408</v>
      </c>
      <c r="Q253" s="9">
        <v>1149</v>
      </c>
      <c r="R253" s="9">
        <v>1929</v>
      </c>
      <c r="S253" s="9">
        <v>2036</v>
      </c>
      <c r="T253" s="9">
        <f t="shared" si="45"/>
        <v>24873</v>
      </c>
    </row>
    <row r="254" spans="1:20" ht="15.75">
      <c r="A254" s="13" t="s">
        <v>365</v>
      </c>
      <c r="B254" s="9">
        <v>84</v>
      </c>
      <c r="C254" s="9">
        <v>107</v>
      </c>
      <c r="D254" s="9">
        <v>401</v>
      </c>
      <c r="E254" s="9">
        <v>2901</v>
      </c>
      <c r="F254" s="9">
        <v>0</v>
      </c>
      <c r="G254" s="9">
        <v>1515</v>
      </c>
      <c r="H254" s="9">
        <v>1117</v>
      </c>
      <c r="I254" s="9">
        <v>882</v>
      </c>
      <c r="J254" s="9">
        <v>1156</v>
      </c>
      <c r="K254" s="9">
        <v>994</v>
      </c>
      <c r="L254" s="9">
        <v>1979</v>
      </c>
      <c r="M254" s="9">
        <v>4619</v>
      </c>
      <c r="N254" s="9">
        <v>2373</v>
      </c>
      <c r="O254" s="9">
        <v>2094</v>
      </c>
      <c r="P254" s="9">
        <v>1205</v>
      </c>
      <c r="Q254" s="9">
        <v>1124</v>
      </c>
      <c r="R254" s="9">
        <v>1625</v>
      </c>
      <c r="S254" s="9">
        <v>1760</v>
      </c>
      <c r="T254" s="9">
        <f t="shared" si="45"/>
        <v>25936</v>
      </c>
    </row>
    <row r="255" spans="1:20" ht="15.75">
      <c r="A255" s="13" t="s">
        <v>366</v>
      </c>
      <c r="B255" s="54">
        <v>95</v>
      </c>
      <c r="C255" s="54">
        <v>115</v>
      </c>
      <c r="D255" s="54">
        <v>444</v>
      </c>
      <c r="E255" s="54">
        <v>2550</v>
      </c>
      <c r="F255" s="54">
        <v>0</v>
      </c>
      <c r="G255" s="54">
        <v>2006</v>
      </c>
      <c r="H255" s="54">
        <v>1306</v>
      </c>
      <c r="I255" s="54">
        <v>1118</v>
      </c>
      <c r="J255" s="54">
        <v>1294</v>
      </c>
      <c r="K255" s="54">
        <v>1130</v>
      </c>
      <c r="L255" s="54">
        <v>1838</v>
      </c>
      <c r="M255" s="54">
        <v>5327</v>
      </c>
      <c r="N255" s="54">
        <v>3078</v>
      </c>
      <c r="O255" s="54">
        <v>2473</v>
      </c>
      <c r="P255" s="54">
        <v>1501</v>
      </c>
      <c r="Q255" s="54">
        <v>1290</v>
      </c>
      <c r="R255" s="54">
        <v>2086</v>
      </c>
      <c r="S255" s="54">
        <v>2080</v>
      </c>
      <c r="T255" s="9">
        <f t="shared" si="45"/>
        <v>29731</v>
      </c>
    </row>
    <row r="256" spans="1:20" ht="15.75">
      <c r="A256" s="43" t="s">
        <v>74</v>
      </c>
      <c r="B256" s="61">
        <f aca="true" t="shared" si="46" ref="B256:T256">SUM(B243:B255)</f>
        <v>2178</v>
      </c>
      <c r="C256" s="61">
        <f t="shared" si="46"/>
        <v>1351</v>
      </c>
      <c r="D256" s="61">
        <f t="shared" si="46"/>
        <v>4419</v>
      </c>
      <c r="E256" s="61">
        <f t="shared" si="46"/>
        <v>27762</v>
      </c>
      <c r="F256" s="61">
        <f t="shared" si="46"/>
        <v>0</v>
      </c>
      <c r="G256" s="61">
        <f t="shared" si="46"/>
        <v>17147</v>
      </c>
      <c r="H256" s="61">
        <f t="shared" si="46"/>
        <v>4978</v>
      </c>
      <c r="I256" s="61">
        <f t="shared" si="46"/>
        <v>10760</v>
      </c>
      <c r="J256" s="61">
        <f t="shared" si="46"/>
        <v>12658</v>
      </c>
      <c r="K256" s="61">
        <f t="shared" si="46"/>
        <v>9250</v>
      </c>
      <c r="L256" s="61">
        <f t="shared" si="46"/>
        <v>16597</v>
      </c>
      <c r="M256" s="61">
        <f t="shared" si="46"/>
        <v>53718</v>
      </c>
      <c r="N256" s="61">
        <f t="shared" si="46"/>
        <v>55424</v>
      </c>
      <c r="O256" s="61">
        <f t="shared" si="46"/>
        <v>21652</v>
      </c>
      <c r="P256" s="61">
        <f t="shared" si="46"/>
        <v>13832</v>
      </c>
      <c r="Q256" s="61">
        <f t="shared" si="46"/>
        <v>10569</v>
      </c>
      <c r="R256" s="61">
        <f t="shared" si="46"/>
        <v>19156</v>
      </c>
      <c r="S256" s="61">
        <f t="shared" si="46"/>
        <v>22988</v>
      </c>
      <c r="T256" s="61">
        <f t="shared" si="46"/>
        <v>304439</v>
      </c>
    </row>
    <row r="259" spans="1:21" ht="15.75">
      <c r="A259" s="9" t="s">
        <v>18</v>
      </c>
      <c r="B259" s="9" t="s">
        <v>72</v>
      </c>
      <c r="C259" s="9" t="s">
        <v>2</v>
      </c>
      <c r="D259" s="9" t="s">
        <v>3</v>
      </c>
      <c r="E259" s="9" t="s">
        <v>4</v>
      </c>
      <c r="F259" s="9" t="s">
        <v>5</v>
      </c>
      <c r="G259" s="9" t="s">
        <v>6</v>
      </c>
      <c r="H259" s="9" t="s">
        <v>7</v>
      </c>
      <c r="I259" s="9" t="s">
        <v>8</v>
      </c>
      <c r="J259" s="9" t="s">
        <v>9</v>
      </c>
      <c r="K259" s="9" t="s">
        <v>10</v>
      </c>
      <c r="L259" s="9" t="s">
        <v>11</v>
      </c>
      <c r="M259" s="9" t="s">
        <v>12</v>
      </c>
      <c r="N259" s="9" t="s">
        <v>13</v>
      </c>
      <c r="O259" s="9" t="s">
        <v>69</v>
      </c>
      <c r="P259" s="9" t="s">
        <v>15</v>
      </c>
      <c r="Q259" s="9" t="s">
        <v>16</v>
      </c>
      <c r="R259" s="9" t="s">
        <v>217</v>
      </c>
      <c r="S259" s="9" t="s">
        <v>218</v>
      </c>
      <c r="T259" s="10" t="s">
        <v>68</v>
      </c>
      <c r="U259" s="9" t="s">
        <v>405</v>
      </c>
    </row>
    <row r="260" spans="1:21" ht="15.75">
      <c r="A260" s="13" t="s">
        <v>392</v>
      </c>
      <c r="B260" s="9">
        <v>95</v>
      </c>
      <c r="C260" s="9">
        <v>258</v>
      </c>
      <c r="D260" s="9">
        <v>351</v>
      </c>
      <c r="E260" s="9">
        <v>2738</v>
      </c>
      <c r="F260" s="9">
        <v>0</v>
      </c>
      <c r="G260" s="9">
        <v>780</v>
      </c>
      <c r="H260" s="9">
        <v>962</v>
      </c>
      <c r="I260" s="9">
        <v>1372</v>
      </c>
      <c r="J260" s="9">
        <v>1023</v>
      </c>
      <c r="K260" s="9">
        <v>724</v>
      </c>
      <c r="L260" s="9">
        <v>1572</v>
      </c>
      <c r="M260" s="9">
        <v>5044</v>
      </c>
      <c r="N260" s="9">
        <v>2231</v>
      </c>
      <c r="O260" s="9">
        <v>2306</v>
      </c>
      <c r="P260" s="9">
        <v>1042</v>
      </c>
      <c r="Q260" s="9">
        <v>898</v>
      </c>
      <c r="R260" s="9">
        <v>1794</v>
      </c>
      <c r="S260" s="9">
        <v>1713</v>
      </c>
      <c r="T260" s="9">
        <f>SUM(B260:S260)</f>
        <v>24903</v>
      </c>
      <c r="U260" s="98" t="s">
        <v>407</v>
      </c>
    </row>
    <row r="261" spans="1:21" ht="15.75">
      <c r="A261" s="13" t="s">
        <v>381</v>
      </c>
      <c r="B261" s="9">
        <v>57</v>
      </c>
      <c r="C261" s="54">
        <v>59</v>
      </c>
      <c r="D261" s="9">
        <v>165</v>
      </c>
      <c r="E261" s="9">
        <v>927</v>
      </c>
      <c r="F261" s="9">
        <v>0</v>
      </c>
      <c r="G261" s="9">
        <v>1</v>
      </c>
      <c r="H261" s="9">
        <v>1515</v>
      </c>
      <c r="I261" s="9">
        <v>301</v>
      </c>
      <c r="J261" s="9">
        <v>398</v>
      </c>
      <c r="K261" s="9">
        <v>231</v>
      </c>
      <c r="L261" s="9">
        <v>694</v>
      </c>
      <c r="M261" s="9">
        <v>3638</v>
      </c>
      <c r="N261" s="9">
        <v>770</v>
      </c>
      <c r="O261" s="9">
        <v>1066</v>
      </c>
      <c r="P261" s="9">
        <v>530</v>
      </c>
      <c r="Q261" s="9">
        <v>391</v>
      </c>
      <c r="R261" s="9">
        <v>1089</v>
      </c>
      <c r="S261" s="9">
        <v>883</v>
      </c>
      <c r="T261" s="9">
        <f aca="true" t="shared" si="47" ref="T261:T271">SUM(B261:S261)</f>
        <v>12715</v>
      </c>
      <c r="U261" s="98" t="s">
        <v>407</v>
      </c>
    </row>
    <row r="262" spans="1:21" ht="15.75">
      <c r="A262" s="13" t="s">
        <v>382</v>
      </c>
      <c r="B262" s="9">
        <v>89</v>
      </c>
      <c r="C262" s="54">
        <v>108</v>
      </c>
      <c r="D262" s="9">
        <v>389</v>
      </c>
      <c r="E262" s="9">
        <v>2821</v>
      </c>
      <c r="F262" s="9">
        <v>0</v>
      </c>
      <c r="G262" s="9">
        <v>0</v>
      </c>
      <c r="H262" s="9">
        <v>749</v>
      </c>
      <c r="I262" s="9">
        <v>1163</v>
      </c>
      <c r="J262" s="9">
        <v>1144</v>
      </c>
      <c r="K262" s="9">
        <v>999</v>
      </c>
      <c r="L262" s="9">
        <v>1733</v>
      </c>
      <c r="M262" s="9">
        <v>4867</v>
      </c>
      <c r="N262" s="9">
        <v>2982</v>
      </c>
      <c r="O262" s="9">
        <v>2531</v>
      </c>
      <c r="P262" s="9">
        <v>1169</v>
      </c>
      <c r="Q262" s="9">
        <v>1043</v>
      </c>
      <c r="R262" s="9">
        <v>1655</v>
      </c>
      <c r="S262" s="9">
        <v>1448</v>
      </c>
      <c r="T262" s="9">
        <f t="shared" si="47"/>
        <v>24890</v>
      </c>
      <c r="U262" s="98" t="s">
        <v>408</v>
      </c>
    </row>
    <row r="263" spans="1:21" ht="15.75">
      <c r="A263" s="13" t="s">
        <v>383</v>
      </c>
      <c r="B263" s="9">
        <v>81</v>
      </c>
      <c r="C263" s="9">
        <v>105</v>
      </c>
      <c r="D263" s="9">
        <v>357</v>
      </c>
      <c r="E263" s="9">
        <v>2422</v>
      </c>
      <c r="F263" s="9">
        <v>0</v>
      </c>
      <c r="G263" s="9">
        <v>0</v>
      </c>
      <c r="H263" s="9">
        <v>232</v>
      </c>
      <c r="I263" s="9">
        <v>940</v>
      </c>
      <c r="J263" s="9">
        <v>1020</v>
      </c>
      <c r="K263" s="9">
        <v>968</v>
      </c>
      <c r="L263" s="9">
        <v>1632</v>
      </c>
      <c r="M263" s="9">
        <v>4231</v>
      </c>
      <c r="N263" s="9">
        <v>2349</v>
      </c>
      <c r="O263" s="9">
        <v>663</v>
      </c>
      <c r="P263" s="9">
        <v>1085</v>
      </c>
      <c r="Q263" s="9">
        <v>1007</v>
      </c>
      <c r="R263" s="9">
        <v>1482</v>
      </c>
      <c r="S263" s="9">
        <v>1848</v>
      </c>
      <c r="T263" s="9">
        <f t="shared" si="47"/>
        <v>20422</v>
      </c>
      <c r="U263" s="98" t="s">
        <v>407</v>
      </c>
    </row>
    <row r="264" spans="1:21" ht="15.75">
      <c r="A264" s="13" t="s">
        <v>384</v>
      </c>
      <c r="B264" s="9">
        <v>84</v>
      </c>
      <c r="C264" s="9">
        <v>128</v>
      </c>
      <c r="D264" s="9">
        <v>372</v>
      </c>
      <c r="E264" s="9">
        <v>2535</v>
      </c>
      <c r="F264" s="9">
        <v>0</v>
      </c>
      <c r="G264" s="9">
        <v>1408</v>
      </c>
      <c r="H264" s="9">
        <v>1126</v>
      </c>
      <c r="I264" s="9">
        <v>993</v>
      </c>
      <c r="J264" s="9">
        <v>1197</v>
      </c>
      <c r="K264" s="9">
        <v>812</v>
      </c>
      <c r="L264" s="9">
        <v>1720</v>
      </c>
      <c r="M264" s="9">
        <v>4682</v>
      </c>
      <c r="N264" s="9">
        <v>2380</v>
      </c>
      <c r="O264" s="9">
        <v>1698</v>
      </c>
      <c r="P264" s="9">
        <v>1003</v>
      </c>
      <c r="Q264" s="9">
        <v>1015</v>
      </c>
      <c r="R264" s="9">
        <v>1648</v>
      </c>
      <c r="S264" s="9">
        <v>1739</v>
      </c>
      <c r="T264" s="9">
        <f t="shared" si="47"/>
        <v>24540</v>
      </c>
      <c r="U264" s="98" t="s">
        <v>416</v>
      </c>
    </row>
    <row r="265" spans="1:21" ht="15.75">
      <c r="A265" s="13" t="s">
        <v>385</v>
      </c>
      <c r="B265" s="9">
        <v>81</v>
      </c>
      <c r="C265" s="9">
        <v>130</v>
      </c>
      <c r="D265" s="9">
        <v>361</v>
      </c>
      <c r="E265" s="9">
        <v>2319</v>
      </c>
      <c r="F265" s="9">
        <v>0</v>
      </c>
      <c r="G265" s="9">
        <v>1783</v>
      </c>
      <c r="H265" s="9">
        <v>1014</v>
      </c>
      <c r="I265" s="9">
        <v>943</v>
      </c>
      <c r="J265" s="9">
        <v>930</v>
      </c>
      <c r="K265" s="9">
        <v>778</v>
      </c>
      <c r="L265" s="9">
        <v>1594</v>
      </c>
      <c r="M265" s="9">
        <v>4339</v>
      </c>
      <c r="N265" s="9">
        <v>2156</v>
      </c>
      <c r="O265" s="9">
        <v>1819</v>
      </c>
      <c r="P265" s="9">
        <v>989</v>
      </c>
      <c r="Q265" s="9">
        <v>821</v>
      </c>
      <c r="R265" s="9">
        <v>1593</v>
      </c>
      <c r="S265" s="9">
        <v>1699</v>
      </c>
      <c r="T265" s="9">
        <f t="shared" si="47"/>
        <v>23349</v>
      </c>
      <c r="U265" s="98" t="s">
        <v>418</v>
      </c>
    </row>
    <row r="266" spans="1:21" ht="15.75">
      <c r="A266" s="13" t="s">
        <v>386</v>
      </c>
      <c r="B266" s="9">
        <v>84</v>
      </c>
      <c r="C266" s="9">
        <v>121</v>
      </c>
      <c r="D266" s="9">
        <v>94</v>
      </c>
      <c r="E266" s="9">
        <v>439</v>
      </c>
      <c r="F266" s="9">
        <v>0</v>
      </c>
      <c r="G266" s="9">
        <v>1148</v>
      </c>
      <c r="H266" s="9">
        <v>98</v>
      </c>
      <c r="I266" s="9">
        <v>244</v>
      </c>
      <c r="J266" s="9">
        <v>733</v>
      </c>
      <c r="K266" s="9">
        <v>91</v>
      </c>
      <c r="L266" s="9">
        <v>928</v>
      </c>
      <c r="M266" s="9">
        <v>4758</v>
      </c>
      <c r="N266" s="9">
        <v>584</v>
      </c>
      <c r="O266" s="9">
        <v>1321</v>
      </c>
      <c r="P266" s="9">
        <v>729</v>
      </c>
      <c r="Q266" s="9">
        <v>500</v>
      </c>
      <c r="R266" s="9">
        <v>1391</v>
      </c>
      <c r="S266" s="9">
        <v>1024</v>
      </c>
      <c r="T266" s="9">
        <f t="shared" si="47"/>
        <v>14287</v>
      </c>
      <c r="U266" s="98" t="s">
        <v>420</v>
      </c>
    </row>
    <row r="267" spans="1:21" ht="15.75">
      <c r="A267" s="13" t="s">
        <v>387</v>
      </c>
      <c r="B267" s="9">
        <v>71</v>
      </c>
      <c r="C267" s="9">
        <v>93</v>
      </c>
      <c r="D267" s="9">
        <v>374</v>
      </c>
      <c r="E267" s="9">
        <v>499</v>
      </c>
      <c r="F267" s="9">
        <v>0</v>
      </c>
      <c r="G267" s="9">
        <v>1266</v>
      </c>
      <c r="H267" s="9">
        <v>179</v>
      </c>
      <c r="I267" s="9">
        <v>44</v>
      </c>
      <c r="J267" s="9">
        <v>529</v>
      </c>
      <c r="K267" s="9">
        <v>73</v>
      </c>
      <c r="L267" s="9">
        <v>822</v>
      </c>
      <c r="M267" s="9">
        <v>5202</v>
      </c>
      <c r="N267" s="9">
        <v>246</v>
      </c>
      <c r="O267" s="9">
        <v>1086</v>
      </c>
      <c r="P267" s="9">
        <v>627</v>
      </c>
      <c r="Q267" s="9">
        <v>262</v>
      </c>
      <c r="R267" s="9">
        <v>1206</v>
      </c>
      <c r="S267" s="9">
        <v>1179</v>
      </c>
      <c r="T267" s="9">
        <f t="shared" si="47"/>
        <v>13758</v>
      </c>
      <c r="U267" s="98" t="s">
        <v>421</v>
      </c>
    </row>
    <row r="268" spans="1:21" ht="15.75">
      <c r="A268" s="13" t="s">
        <v>388</v>
      </c>
      <c r="B268" s="9">
        <v>73</v>
      </c>
      <c r="C268" s="9">
        <v>125</v>
      </c>
      <c r="D268" s="9">
        <v>262</v>
      </c>
      <c r="E268" s="9">
        <v>1577</v>
      </c>
      <c r="F268" s="9">
        <v>0</v>
      </c>
      <c r="G268" s="9">
        <v>1543</v>
      </c>
      <c r="H268" s="9">
        <v>749</v>
      </c>
      <c r="I268" s="9">
        <v>425</v>
      </c>
      <c r="J268" s="9">
        <v>827</v>
      </c>
      <c r="K268" s="9">
        <v>676</v>
      </c>
      <c r="L268" s="9">
        <v>1224</v>
      </c>
      <c r="M268" s="9">
        <v>5354</v>
      </c>
      <c r="N268" s="9">
        <v>1931</v>
      </c>
      <c r="O268" s="9">
        <v>1689</v>
      </c>
      <c r="P268" s="9">
        <v>1019</v>
      </c>
      <c r="Q268" s="9">
        <v>609</v>
      </c>
      <c r="R268" s="9">
        <v>1590</v>
      </c>
      <c r="S268" s="9">
        <v>1483</v>
      </c>
      <c r="T268" s="9">
        <f t="shared" si="47"/>
        <v>21156</v>
      </c>
      <c r="U268" s="98" t="s">
        <v>424</v>
      </c>
    </row>
    <row r="269" spans="1:21" ht="15.75">
      <c r="A269" s="13" t="s">
        <v>389</v>
      </c>
      <c r="B269" s="9">
        <v>84</v>
      </c>
      <c r="C269" s="9">
        <v>20</v>
      </c>
      <c r="D269" s="9">
        <v>382</v>
      </c>
      <c r="E269" s="9">
        <v>2442</v>
      </c>
      <c r="F269" s="9">
        <v>0</v>
      </c>
      <c r="G269" s="9">
        <v>1921</v>
      </c>
      <c r="H269" s="9">
        <v>1271</v>
      </c>
      <c r="I269" s="9">
        <v>1246</v>
      </c>
      <c r="J269" s="9">
        <v>1037</v>
      </c>
      <c r="K269" s="9">
        <v>1018</v>
      </c>
      <c r="L269" s="9">
        <v>4579</v>
      </c>
      <c r="M269" s="9">
        <v>5679</v>
      </c>
      <c r="N269" s="9">
        <v>2536</v>
      </c>
      <c r="O269" s="9">
        <v>2514</v>
      </c>
      <c r="P269" s="9">
        <v>1314</v>
      </c>
      <c r="Q269" s="9">
        <v>942</v>
      </c>
      <c r="R269" s="9">
        <v>2100</v>
      </c>
      <c r="S269" s="9">
        <v>1907</v>
      </c>
      <c r="T269" s="9">
        <f t="shared" si="47"/>
        <v>30992</v>
      </c>
      <c r="U269" s="98" t="s">
        <v>424</v>
      </c>
    </row>
    <row r="270" spans="1:21" ht="15.75">
      <c r="A270" s="13" t="s">
        <v>390</v>
      </c>
      <c r="B270" s="9">
        <v>83</v>
      </c>
      <c r="C270" s="9">
        <v>227</v>
      </c>
      <c r="D270" s="9">
        <v>366</v>
      </c>
      <c r="E270" s="9">
        <v>2557</v>
      </c>
      <c r="F270" s="9">
        <v>0</v>
      </c>
      <c r="G270" s="9">
        <v>1887</v>
      </c>
      <c r="H270" s="9">
        <v>1082</v>
      </c>
      <c r="I270" s="9">
        <v>879</v>
      </c>
      <c r="J270" s="9">
        <v>1004</v>
      </c>
      <c r="K270" s="9">
        <v>876</v>
      </c>
      <c r="L270" s="9">
        <v>0</v>
      </c>
      <c r="M270" s="9">
        <v>5391</v>
      </c>
      <c r="N270" s="9">
        <v>2563</v>
      </c>
      <c r="O270" s="9">
        <v>2637</v>
      </c>
      <c r="P270" s="9">
        <v>1214</v>
      </c>
      <c r="Q270" s="9">
        <v>868</v>
      </c>
      <c r="R270" s="9">
        <v>1561</v>
      </c>
      <c r="S270" s="9">
        <v>1937</v>
      </c>
      <c r="T270" s="9">
        <f t="shared" si="47"/>
        <v>25132</v>
      </c>
      <c r="U270" s="98" t="s">
        <v>426</v>
      </c>
    </row>
    <row r="271" spans="1:21" ht="15.75">
      <c r="A271" s="13" t="s">
        <v>391</v>
      </c>
      <c r="B271" s="54">
        <v>85</v>
      </c>
      <c r="C271" s="54">
        <v>124</v>
      </c>
      <c r="D271" s="54">
        <v>418</v>
      </c>
      <c r="E271" s="54">
        <v>2529</v>
      </c>
      <c r="F271" s="54">
        <v>0</v>
      </c>
      <c r="G271" s="54">
        <v>2220</v>
      </c>
      <c r="H271" s="54">
        <v>1300</v>
      </c>
      <c r="I271" s="54">
        <v>1150</v>
      </c>
      <c r="J271" s="54">
        <v>1123</v>
      </c>
      <c r="K271" s="54">
        <v>1042</v>
      </c>
      <c r="L271" s="54">
        <v>0</v>
      </c>
      <c r="M271" s="54">
        <v>5564</v>
      </c>
      <c r="N271" s="54">
        <v>2033</v>
      </c>
      <c r="O271" s="54">
        <v>3225</v>
      </c>
      <c r="P271" s="54">
        <v>1391</v>
      </c>
      <c r="Q271" s="54">
        <v>1042</v>
      </c>
      <c r="R271" s="54">
        <v>1992</v>
      </c>
      <c r="S271" s="54">
        <v>2109</v>
      </c>
      <c r="T271" s="9">
        <f t="shared" si="47"/>
        <v>27347</v>
      </c>
      <c r="U271" s="98" t="s">
        <v>428</v>
      </c>
    </row>
    <row r="272" spans="1:21" ht="15.75">
      <c r="A272" s="43" t="s">
        <v>74</v>
      </c>
      <c r="B272" s="61">
        <f aca="true" t="shared" si="48" ref="B272:T272">SUM(B259:B271)</f>
        <v>967</v>
      </c>
      <c r="C272" s="61">
        <f t="shared" si="48"/>
        <v>1498</v>
      </c>
      <c r="D272" s="61">
        <f t="shared" si="48"/>
        <v>3891</v>
      </c>
      <c r="E272" s="61">
        <f t="shared" si="48"/>
        <v>23805</v>
      </c>
      <c r="F272" s="61">
        <f t="shared" si="48"/>
        <v>0</v>
      </c>
      <c r="G272" s="61">
        <f t="shared" si="48"/>
        <v>13957</v>
      </c>
      <c r="H272" s="61">
        <f t="shared" si="48"/>
        <v>10277</v>
      </c>
      <c r="I272" s="61">
        <f t="shared" si="48"/>
        <v>9700</v>
      </c>
      <c r="J272" s="61">
        <f t="shared" si="48"/>
        <v>10965</v>
      </c>
      <c r="K272" s="61">
        <f t="shared" si="48"/>
        <v>8288</v>
      </c>
      <c r="L272" s="61">
        <f t="shared" si="48"/>
        <v>16498</v>
      </c>
      <c r="M272" s="61">
        <f t="shared" si="48"/>
        <v>58749</v>
      </c>
      <c r="N272" s="61">
        <f t="shared" si="48"/>
        <v>22761</v>
      </c>
      <c r="O272" s="61">
        <f t="shared" si="48"/>
        <v>22555</v>
      </c>
      <c r="P272" s="61">
        <f t="shared" si="48"/>
        <v>12112</v>
      </c>
      <c r="Q272" s="61">
        <f t="shared" si="48"/>
        <v>9398</v>
      </c>
      <c r="R272" s="61">
        <f t="shared" si="48"/>
        <v>19101</v>
      </c>
      <c r="S272" s="61">
        <f t="shared" si="48"/>
        <v>18969</v>
      </c>
      <c r="T272" s="61">
        <f t="shared" si="48"/>
        <v>263491</v>
      </c>
      <c r="U272" s="98"/>
    </row>
    <row r="275" spans="1:21" ht="15.75">
      <c r="A275" s="9" t="s">
        <v>18</v>
      </c>
      <c r="B275" s="9" t="s">
        <v>72</v>
      </c>
      <c r="C275" s="9" t="s">
        <v>2</v>
      </c>
      <c r="D275" s="9" t="s">
        <v>3</v>
      </c>
      <c r="E275" s="9" t="s">
        <v>4</v>
      </c>
      <c r="F275" s="9" t="s">
        <v>5</v>
      </c>
      <c r="G275" s="9" t="s">
        <v>6</v>
      </c>
      <c r="H275" s="9" t="s">
        <v>7</v>
      </c>
      <c r="I275" s="9" t="s">
        <v>8</v>
      </c>
      <c r="J275" s="9" t="s">
        <v>9</v>
      </c>
      <c r="K275" s="9" t="s">
        <v>10</v>
      </c>
      <c r="L275" s="9" t="s">
        <v>11</v>
      </c>
      <c r="M275" s="9" t="s">
        <v>12</v>
      </c>
      <c r="N275" s="9" t="s">
        <v>13</v>
      </c>
      <c r="O275" s="9" t="s">
        <v>69</v>
      </c>
      <c r="P275" s="9" t="s">
        <v>15</v>
      </c>
      <c r="Q275" s="9" t="s">
        <v>16</v>
      </c>
      <c r="R275" s="9" t="s">
        <v>217</v>
      </c>
      <c r="S275" s="9" t="s">
        <v>218</v>
      </c>
      <c r="T275" s="10" t="s">
        <v>68</v>
      </c>
      <c r="U275" s="9" t="s">
        <v>405</v>
      </c>
    </row>
    <row r="276" spans="1:21" ht="15.75">
      <c r="A276" s="13" t="s">
        <v>442</v>
      </c>
      <c r="B276" s="9">
        <v>82</v>
      </c>
      <c r="C276" s="9">
        <v>111</v>
      </c>
      <c r="D276" s="9">
        <v>343</v>
      </c>
      <c r="E276" s="9">
        <v>2538</v>
      </c>
      <c r="F276" s="9">
        <v>0</v>
      </c>
      <c r="G276" s="9">
        <v>1477</v>
      </c>
      <c r="H276" s="9">
        <v>920</v>
      </c>
      <c r="I276" s="9">
        <v>1280</v>
      </c>
      <c r="J276" s="9">
        <v>833</v>
      </c>
      <c r="K276" s="9">
        <v>672</v>
      </c>
      <c r="L276" s="9">
        <v>519</v>
      </c>
      <c r="M276" s="9">
        <v>4362</v>
      </c>
      <c r="N276" s="9">
        <v>2100</v>
      </c>
      <c r="O276" s="9">
        <v>1858</v>
      </c>
      <c r="P276" s="9">
        <v>940</v>
      </c>
      <c r="Q276" s="9">
        <v>586</v>
      </c>
      <c r="R276" s="9">
        <v>1830</v>
      </c>
      <c r="S276" s="9">
        <v>1375</v>
      </c>
      <c r="T276" s="9">
        <f aca="true" t="shared" si="49" ref="T276:T285">SUM(B276:S276)</f>
        <v>21826</v>
      </c>
      <c r="U276" s="98" t="s">
        <v>454</v>
      </c>
    </row>
    <row r="277" spans="1:21" ht="15.75">
      <c r="A277" s="13" t="s">
        <v>443</v>
      </c>
      <c r="B277" s="9">
        <v>52</v>
      </c>
      <c r="C277" s="54">
        <v>77</v>
      </c>
      <c r="D277" s="9">
        <v>225</v>
      </c>
      <c r="E277" s="9">
        <v>1870</v>
      </c>
      <c r="F277" s="9">
        <v>0</v>
      </c>
      <c r="G277" s="9">
        <v>1235</v>
      </c>
      <c r="H277" s="9">
        <v>507</v>
      </c>
      <c r="I277" s="9">
        <v>458</v>
      </c>
      <c r="J277" s="9">
        <v>567</v>
      </c>
      <c r="K277" s="9">
        <v>529</v>
      </c>
      <c r="L277" s="9">
        <v>700</v>
      </c>
      <c r="M277" s="9">
        <v>4660</v>
      </c>
      <c r="N277" s="9">
        <v>2318</v>
      </c>
      <c r="O277" s="9">
        <v>233</v>
      </c>
      <c r="P277" s="9">
        <v>585</v>
      </c>
      <c r="Q277" s="9">
        <v>490</v>
      </c>
      <c r="R277" s="9">
        <v>1196</v>
      </c>
      <c r="S277" s="9">
        <v>1011</v>
      </c>
      <c r="T277" s="9">
        <f t="shared" si="49"/>
        <v>16713</v>
      </c>
      <c r="U277" s="98" t="s">
        <v>455</v>
      </c>
    </row>
    <row r="278" spans="1:21" ht="15.75">
      <c r="A278" s="13" t="s">
        <v>444</v>
      </c>
      <c r="B278" s="9">
        <v>85</v>
      </c>
      <c r="C278" s="54">
        <v>125</v>
      </c>
      <c r="D278" s="9">
        <v>430</v>
      </c>
      <c r="E278" s="9">
        <v>2838</v>
      </c>
      <c r="F278" s="9">
        <v>0</v>
      </c>
      <c r="G278" s="9">
        <v>2055</v>
      </c>
      <c r="H278" s="9">
        <v>1355</v>
      </c>
      <c r="I278" s="9">
        <v>1548</v>
      </c>
      <c r="J278" s="9">
        <v>1127</v>
      </c>
      <c r="K278" s="9">
        <v>1032</v>
      </c>
      <c r="L278" s="9">
        <v>115</v>
      </c>
      <c r="M278" s="9">
        <v>5229</v>
      </c>
      <c r="N278" s="9">
        <v>3304</v>
      </c>
      <c r="O278" s="9">
        <v>2995</v>
      </c>
      <c r="P278" s="9">
        <v>668</v>
      </c>
      <c r="Q278" s="9">
        <v>897</v>
      </c>
      <c r="R278" s="9">
        <v>2052</v>
      </c>
      <c r="S278" s="9">
        <v>1749</v>
      </c>
      <c r="T278" s="9">
        <f t="shared" si="49"/>
        <v>27604</v>
      </c>
      <c r="U278" s="98" t="s">
        <v>457</v>
      </c>
    </row>
    <row r="279" spans="1:21" ht="15.75">
      <c r="A279" s="13" t="s">
        <v>445</v>
      </c>
      <c r="B279" s="9">
        <v>80</v>
      </c>
      <c r="C279" s="9">
        <v>122</v>
      </c>
      <c r="D279" s="9">
        <v>344</v>
      </c>
      <c r="E279" s="9">
        <v>2413</v>
      </c>
      <c r="F279" s="9">
        <v>0</v>
      </c>
      <c r="G279" s="9">
        <v>1625</v>
      </c>
      <c r="H279" s="9">
        <v>1061</v>
      </c>
      <c r="I279" s="9">
        <v>1215</v>
      </c>
      <c r="J279" s="9">
        <v>991</v>
      </c>
      <c r="K279" s="9">
        <v>789</v>
      </c>
      <c r="L279" s="9">
        <v>1568</v>
      </c>
      <c r="M279" s="9">
        <v>4933</v>
      </c>
      <c r="N279" s="9">
        <v>3180</v>
      </c>
      <c r="O279" s="9">
        <v>2461</v>
      </c>
      <c r="P279" s="9">
        <v>1241</v>
      </c>
      <c r="Q279" s="9">
        <v>774</v>
      </c>
      <c r="R279" s="9">
        <v>1677</v>
      </c>
      <c r="S279" s="9">
        <v>1556</v>
      </c>
      <c r="T279" s="9">
        <f t="shared" si="49"/>
        <v>26030</v>
      </c>
      <c r="U279" s="98" t="s">
        <v>460</v>
      </c>
    </row>
    <row r="280" spans="1:21" ht="15.75">
      <c r="A280" s="13" t="s">
        <v>446</v>
      </c>
      <c r="B280" s="9">
        <v>87</v>
      </c>
      <c r="C280" s="9">
        <v>114</v>
      </c>
      <c r="D280" s="9">
        <v>356</v>
      </c>
      <c r="E280" s="9">
        <v>0</v>
      </c>
      <c r="F280" s="9">
        <v>0</v>
      </c>
      <c r="G280" s="9">
        <v>1965</v>
      </c>
      <c r="H280" s="9">
        <v>1170</v>
      </c>
      <c r="I280" s="9">
        <v>1336</v>
      </c>
      <c r="J280" s="9">
        <v>898</v>
      </c>
      <c r="K280" s="9">
        <v>660</v>
      </c>
      <c r="L280" s="9">
        <v>0</v>
      </c>
      <c r="M280" s="9">
        <v>4881</v>
      </c>
      <c r="N280" s="9">
        <v>2952</v>
      </c>
      <c r="O280" s="9">
        <v>2568</v>
      </c>
      <c r="P280" s="9">
        <v>1206</v>
      </c>
      <c r="Q280" s="9">
        <v>309</v>
      </c>
      <c r="R280" s="9">
        <v>1940</v>
      </c>
      <c r="S280" s="9">
        <v>1828</v>
      </c>
      <c r="T280" s="9">
        <f t="shared" si="49"/>
        <v>22270</v>
      </c>
      <c r="U280" s="98" t="s">
        <v>461</v>
      </c>
    </row>
    <row r="281" spans="1:21" ht="15.75">
      <c r="A281" s="13" t="s">
        <v>447</v>
      </c>
      <c r="B281" s="9">
        <v>81</v>
      </c>
      <c r="C281" s="9">
        <v>119</v>
      </c>
      <c r="D281" s="9">
        <v>300</v>
      </c>
      <c r="E281" s="9">
        <v>0</v>
      </c>
      <c r="F281" s="9">
        <v>0</v>
      </c>
      <c r="G281" s="9">
        <v>1470</v>
      </c>
      <c r="H281" s="9">
        <v>864</v>
      </c>
      <c r="I281" s="9">
        <v>920</v>
      </c>
      <c r="J281" s="9">
        <v>886</v>
      </c>
      <c r="K281" s="9">
        <v>747</v>
      </c>
      <c r="L281" s="9">
        <v>0</v>
      </c>
      <c r="M281" s="9">
        <v>4418</v>
      </c>
      <c r="N281" s="9">
        <v>1970</v>
      </c>
      <c r="O281" s="9">
        <v>0</v>
      </c>
      <c r="P281" s="9">
        <v>963</v>
      </c>
      <c r="Q281" s="9">
        <v>138</v>
      </c>
      <c r="R281" s="9">
        <v>1960</v>
      </c>
      <c r="S281" s="9">
        <v>1622</v>
      </c>
      <c r="T281" s="9">
        <f t="shared" si="49"/>
        <v>16458</v>
      </c>
      <c r="U281" s="98" t="s">
        <v>454</v>
      </c>
    </row>
    <row r="282" spans="1:21" ht="15.75">
      <c r="A282" s="13" t="s">
        <v>448</v>
      </c>
      <c r="B282" s="9">
        <v>87</v>
      </c>
      <c r="C282" s="9">
        <v>93</v>
      </c>
      <c r="D282" s="9">
        <v>138</v>
      </c>
      <c r="E282" s="9">
        <v>0</v>
      </c>
      <c r="F282" s="9">
        <v>0</v>
      </c>
      <c r="G282" s="9">
        <v>994</v>
      </c>
      <c r="H282" s="9">
        <v>301</v>
      </c>
      <c r="I282" s="9">
        <v>702</v>
      </c>
      <c r="J282" s="9">
        <v>638</v>
      </c>
      <c r="K282" s="9">
        <v>178</v>
      </c>
      <c r="L282" s="9">
        <v>0</v>
      </c>
      <c r="M282" s="9">
        <v>4503</v>
      </c>
      <c r="N282" s="9">
        <v>730</v>
      </c>
      <c r="O282" s="9">
        <v>96</v>
      </c>
      <c r="P282" s="9">
        <v>862</v>
      </c>
      <c r="Q282" s="9">
        <v>662</v>
      </c>
      <c r="R282" s="9">
        <v>1458</v>
      </c>
      <c r="S282" s="9">
        <v>1224</v>
      </c>
      <c r="T282" s="9">
        <f t="shared" si="49"/>
        <v>12666</v>
      </c>
      <c r="U282" s="98" t="s">
        <v>465</v>
      </c>
    </row>
    <row r="283" spans="1:21" ht="15.75">
      <c r="A283" s="13" t="s">
        <v>449</v>
      </c>
      <c r="B283" s="9">
        <v>90</v>
      </c>
      <c r="C283" s="9">
        <v>108</v>
      </c>
      <c r="D283" s="9">
        <v>25</v>
      </c>
      <c r="E283" s="9">
        <v>0</v>
      </c>
      <c r="F283" s="9">
        <v>0</v>
      </c>
      <c r="G283" s="9">
        <v>760</v>
      </c>
      <c r="H283" s="9">
        <v>145</v>
      </c>
      <c r="I283" s="9">
        <v>305</v>
      </c>
      <c r="J283" s="9">
        <v>611</v>
      </c>
      <c r="K283" s="9">
        <v>50</v>
      </c>
      <c r="L283" s="9">
        <v>0</v>
      </c>
      <c r="M283" s="9">
        <v>6911</v>
      </c>
      <c r="N283" s="9">
        <v>736</v>
      </c>
      <c r="O283" s="9">
        <v>153</v>
      </c>
      <c r="P283" s="9">
        <v>751</v>
      </c>
      <c r="Q283" s="9">
        <v>607</v>
      </c>
      <c r="R283" s="9">
        <v>1516</v>
      </c>
      <c r="S283" s="9">
        <v>1077</v>
      </c>
      <c r="T283" s="9">
        <f t="shared" si="49"/>
        <v>13845</v>
      </c>
      <c r="U283" s="98" t="s">
        <v>454</v>
      </c>
    </row>
    <row r="284" spans="1:21" ht="15.75">
      <c r="A284" s="13" t="s">
        <v>450</v>
      </c>
      <c r="B284" s="9">
        <v>102</v>
      </c>
      <c r="C284" s="9">
        <v>121</v>
      </c>
      <c r="D284" s="9">
        <v>308</v>
      </c>
      <c r="E284" s="9">
        <v>0</v>
      </c>
      <c r="F284" s="9">
        <v>0</v>
      </c>
      <c r="G284" s="9">
        <v>1621</v>
      </c>
      <c r="H284" s="9">
        <v>903</v>
      </c>
      <c r="I284" s="9">
        <v>937</v>
      </c>
      <c r="J284" s="9">
        <v>801</v>
      </c>
      <c r="K284" s="9">
        <v>520</v>
      </c>
      <c r="L284" s="9">
        <v>0</v>
      </c>
      <c r="M284" s="9">
        <v>2673</v>
      </c>
      <c r="N284" s="9">
        <v>2003</v>
      </c>
      <c r="O284" s="9">
        <v>272</v>
      </c>
      <c r="P284" s="9">
        <v>1102</v>
      </c>
      <c r="Q284" s="9">
        <v>518</v>
      </c>
      <c r="R284" s="9">
        <v>1809</v>
      </c>
      <c r="S284" s="9">
        <v>1909</v>
      </c>
      <c r="T284" s="9">
        <f t="shared" si="49"/>
        <v>15599</v>
      </c>
      <c r="U284" s="98" t="s">
        <v>468</v>
      </c>
    </row>
    <row r="285" spans="1:21" ht="15.75">
      <c r="A285" s="13" t="s">
        <v>451</v>
      </c>
      <c r="B285" s="9">
        <v>77.5</v>
      </c>
      <c r="C285" s="9">
        <v>121</v>
      </c>
      <c r="D285" s="9">
        <v>372</v>
      </c>
      <c r="E285" s="9">
        <v>0</v>
      </c>
      <c r="F285" s="9">
        <v>0</v>
      </c>
      <c r="G285" s="9">
        <v>1620</v>
      </c>
      <c r="H285" s="9">
        <v>1271</v>
      </c>
      <c r="I285" s="9">
        <v>1246</v>
      </c>
      <c r="J285" s="9">
        <v>819</v>
      </c>
      <c r="K285" s="9">
        <v>547</v>
      </c>
      <c r="L285" s="9">
        <v>0</v>
      </c>
      <c r="M285" s="9">
        <v>7760</v>
      </c>
      <c r="N285" s="9">
        <v>2543</v>
      </c>
      <c r="O285" s="9">
        <v>288</v>
      </c>
      <c r="P285" s="9">
        <v>1191</v>
      </c>
      <c r="Q285" s="9">
        <v>884</v>
      </c>
      <c r="R285" s="9">
        <v>1858</v>
      </c>
      <c r="S285" s="9">
        <v>1798</v>
      </c>
      <c r="T285" s="9">
        <f t="shared" si="49"/>
        <v>22395.5</v>
      </c>
      <c r="U285" s="98" t="s">
        <v>454</v>
      </c>
    </row>
    <row r="286" spans="1:21" ht="15.75">
      <c r="A286" s="13" t="s">
        <v>452</v>
      </c>
      <c r="B286" s="9">
        <v>98</v>
      </c>
      <c r="C286" s="9">
        <v>120</v>
      </c>
      <c r="D286" s="9">
        <v>407</v>
      </c>
      <c r="E286" s="9">
        <v>0</v>
      </c>
      <c r="F286" s="9">
        <v>0</v>
      </c>
      <c r="G286" s="9">
        <v>1815</v>
      </c>
      <c r="H286" s="9">
        <v>1080</v>
      </c>
      <c r="I286" s="9">
        <v>882</v>
      </c>
      <c r="J286" s="9">
        <v>889</v>
      </c>
      <c r="K286" s="9">
        <v>878</v>
      </c>
      <c r="L286" s="9">
        <v>106</v>
      </c>
      <c r="M286" s="9">
        <v>7030</v>
      </c>
      <c r="N286" s="9">
        <v>3493</v>
      </c>
      <c r="O286" s="9">
        <v>324</v>
      </c>
      <c r="P286" s="9">
        <v>1331</v>
      </c>
      <c r="Q286" s="9">
        <v>980</v>
      </c>
      <c r="R286" s="9">
        <v>1972</v>
      </c>
      <c r="S286" s="9">
        <v>2154</v>
      </c>
      <c r="T286" s="9">
        <f>SUM(B286:S286)</f>
        <v>23559</v>
      </c>
      <c r="U286" s="98" t="s">
        <v>454</v>
      </c>
    </row>
    <row r="287" spans="1:21" ht="15.75">
      <c r="A287" s="13" t="s">
        <v>453</v>
      </c>
      <c r="B287" s="54">
        <v>107</v>
      </c>
      <c r="C287" s="54">
        <v>129</v>
      </c>
      <c r="D287" s="54">
        <v>481</v>
      </c>
      <c r="E287" s="54">
        <v>0</v>
      </c>
      <c r="F287" s="54">
        <v>0</v>
      </c>
      <c r="G287" s="54">
        <v>2217</v>
      </c>
      <c r="H287" s="54">
        <v>1200</v>
      </c>
      <c r="I287" s="54">
        <v>1150</v>
      </c>
      <c r="J287" s="54">
        <v>1001</v>
      </c>
      <c r="K287" s="54">
        <v>771</v>
      </c>
      <c r="L287" s="54">
        <v>242</v>
      </c>
      <c r="M287" s="54">
        <v>2260</v>
      </c>
      <c r="N287" s="54">
        <v>3284</v>
      </c>
      <c r="O287" s="54">
        <v>342</v>
      </c>
      <c r="P287" s="54">
        <v>1395</v>
      </c>
      <c r="Q287" s="54">
        <v>1039</v>
      </c>
      <c r="R287" s="54">
        <v>2186</v>
      </c>
      <c r="S287" s="54">
        <v>2472</v>
      </c>
      <c r="T287" s="9">
        <f>SUM(B287:S287)</f>
        <v>20276</v>
      </c>
      <c r="U287" s="98" t="s">
        <v>454</v>
      </c>
    </row>
    <row r="288" spans="1:21" ht="15.75">
      <c r="A288" s="43" t="s">
        <v>74</v>
      </c>
      <c r="B288" s="61">
        <f aca="true" t="shared" si="50" ref="B288:S288">SUM(B275:B287)</f>
        <v>1028.5</v>
      </c>
      <c r="C288" s="61">
        <f t="shared" si="50"/>
        <v>1360</v>
      </c>
      <c r="D288" s="61">
        <f t="shared" si="50"/>
        <v>3729</v>
      </c>
      <c r="E288" s="61">
        <f t="shared" si="50"/>
        <v>9659</v>
      </c>
      <c r="F288" s="61">
        <f t="shared" si="50"/>
        <v>0</v>
      </c>
      <c r="G288" s="61">
        <f t="shared" si="50"/>
        <v>18854</v>
      </c>
      <c r="H288" s="61">
        <f t="shared" si="50"/>
        <v>10777</v>
      </c>
      <c r="I288" s="61">
        <f t="shared" si="50"/>
        <v>11979</v>
      </c>
      <c r="J288" s="61">
        <f t="shared" si="50"/>
        <v>10061</v>
      </c>
      <c r="K288" s="61">
        <f t="shared" si="50"/>
        <v>7373</v>
      </c>
      <c r="L288" s="61">
        <f t="shared" si="50"/>
        <v>3250</v>
      </c>
      <c r="M288" s="61">
        <f t="shared" si="50"/>
        <v>59620</v>
      </c>
      <c r="N288" s="61">
        <f t="shared" si="50"/>
        <v>28613</v>
      </c>
      <c r="O288" s="61">
        <f t="shared" si="50"/>
        <v>11590</v>
      </c>
      <c r="P288" s="61">
        <f t="shared" si="50"/>
        <v>12235</v>
      </c>
      <c r="Q288" s="61">
        <f t="shared" si="50"/>
        <v>7884</v>
      </c>
      <c r="R288" s="61">
        <f t="shared" si="50"/>
        <v>21454</v>
      </c>
      <c r="S288" s="61">
        <f t="shared" si="50"/>
        <v>19775</v>
      </c>
      <c r="T288" s="61">
        <f>SUM(T275:T287)</f>
        <v>239241.5</v>
      </c>
      <c r="U288" s="98"/>
    </row>
    <row r="289" spans="1:21" ht="15.75">
      <c r="A289" s="103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5"/>
    </row>
    <row r="290" spans="1:21" ht="15.75">
      <c r="A290" s="103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5"/>
    </row>
    <row r="291" spans="1:21" ht="15.75">
      <c r="A291" s="9" t="s">
        <v>18</v>
      </c>
      <c r="B291" s="9" t="s">
        <v>72</v>
      </c>
      <c r="C291" s="9" t="s">
        <v>2</v>
      </c>
      <c r="D291" s="9" t="s">
        <v>3</v>
      </c>
      <c r="E291" s="9" t="s">
        <v>4</v>
      </c>
      <c r="F291" s="9" t="s">
        <v>5</v>
      </c>
      <c r="G291" s="9" t="s">
        <v>6</v>
      </c>
      <c r="H291" s="9" t="s">
        <v>7</v>
      </c>
      <c r="I291" s="9" t="s">
        <v>8</v>
      </c>
      <c r="J291" s="9" t="s">
        <v>9</v>
      </c>
      <c r="K291" s="9" t="s">
        <v>10</v>
      </c>
      <c r="L291" s="9" t="s">
        <v>11</v>
      </c>
      <c r="M291" s="9" t="s">
        <v>12</v>
      </c>
      <c r="N291" s="9" t="s">
        <v>13</v>
      </c>
      <c r="O291" s="9" t="s">
        <v>69</v>
      </c>
      <c r="P291" s="9" t="s">
        <v>15</v>
      </c>
      <c r="Q291" s="9" t="s">
        <v>16</v>
      </c>
      <c r="R291" s="9" t="s">
        <v>217</v>
      </c>
      <c r="S291" s="9" t="s">
        <v>218</v>
      </c>
      <c r="T291" s="10" t="s">
        <v>68</v>
      </c>
      <c r="U291" s="9" t="s">
        <v>405</v>
      </c>
    </row>
    <row r="292" spans="1:21" ht="15.75">
      <c r="A292" s="13" t="s">
        <v>471</v>
      </c>
      <c r="B292" s="9">
        <v>84</v>
      </c>
      <c r="C292" s="9">
        <v>82</v>
      </c>
      <c r="D292" s="9">
        <v>271</v>
      </c>
      <c r="E292" s="9">
        <v>0</v>
      </c>
      <c r="F292" s="9">
        <v>0</v>
      </c>
      <c r="G292" s="9">
        <v>1022</v>
      </c>
      <c r="H292" s="9">
        <v>377</v>
      </c>
      <c r="I292" s="9">
        <v>1101</v>
      </c>
      <c r="J292" s="9">
        <v>726</v>
      </c>
      <c r="K292" s="9">
        <v>656</v>
      </c>
      <c r="L292" s="9">
        <v>184</v>
      </c>
      <c r="M292" s="9">
        <v>3762</v>
      </c>
      <c r="N292" s="9">
        <v>3025</v>
      </c>
      <c r="O292" s="9">
        <v>168</v>
      </c>
      <c r="P292" s="9">
        <v>807</v>
      </c>
      <c r="Q292" s="9">
        <v>525</v>
      </c>
      <c r="R292" s="9">
        <v>1608</v>
      </c>
      <c r="S292" s="9">
        <v>1535</v>
      </c>
      <c r="T292" s="9">
        <f aca="true" t="shared" si="51" ref="T292:T301">SUM(B292:S292)</f>
        <v>15933</v>
      </c>
      <c r="U292" s="98" t="s">
        <v>495</v>
      </c>
    </row>
    <row r="293" spans="1:21" ht="15.75">
      <c r="A293" s="13" t="s">
        <v>472</v>
      </c>
      <c r="B293" s="9">
        <v>84</v>
      </c>
      <c r="C293" s="54">
        <v>100</v>
      </c>
      <c r="D293" s="9">
        <v>287</v>
      </c>
      <c r="E293" s="9">
        <v>0</v>
      </c>
      <c r="F293" s="9">
        <v>0</v>
      </c>
      <c r="G293" s="9">
        <v>1153</v>
      </c>
      <c r="H293" s="9">
        <v>377</v>
      </c>
      <c r="I293" s="9">
        <v>358</v>
      </c>
      <c r="J293" s="9">
        <v>633</v>
      </c>
      <c r="K293" s="9">
        <v>265</v>
      </c>
      <c r="L293" s="9">
        <v>157</v>
      </c>
      <c r="M293" s="9">
        <v>4781</v>
      </c>
      <c r="N293" s="9">
        <v>2662</v>
      </c>
      <c r="O293" s="9">
        <v>171</v>
      </c>
      <c r="P293" s="9">
        <v>893</v>
      </c>
      <c r="Q293" s="9">
        <v>540</v>
      </c>
      <c r="R293" s="9">
        <v>2527</v>
      </c>
      <c r="S293" s="9">
        <v>1606</v>
      </c>
      <c r="T293" s="9">
        <f t="shared" si="51"/>
        <v>16594</v>
      </c>
      <c r="U293" s="98" t="s">
        <v>498</v>
      </c>
    </row>
    <row r="294" spans="1:21" ht="15.75">
      <c r="A294" s="13" t="s">
        <v>473</v>
      </c>
      <c r="B294" s="9">
        <v>101</v>
      </c>
      <c r="C294" s="54">
        <v>115</v>
      </c>
      <c r="D294" s="9">
        <v>426</v>
      </c>
      <c r="E294" s="9">
        <v>0</v>
      </c>
      <c r="F294" s="9">
        <v>0</v>
      </c>
      <c r="G294" s="9">
        <v>1976</v>
      </c>
      <c r="H294" s="9">
        <v>1370</v>
      </c>
      <c r="I294" s="9">
        <v>2121</v>
      </c>
      <c r="J294" s="9">
        <v>930</v>
      </c>
      <c r="K294" s="9">
        <v>891</v>
      </c>
      <c r="L294" s="9">
        <v>115</v>
      </c>
      <c r="M294" s="9">
        <v>5714</v>
      </c>
      <c r="N294" s="9">
        <v>6336</v>
      </c>
      <c r="O294" s="9">
        <v>17276</v>
      </c>
      <c r="P294" s="9">
        <v>668</v>
      </c>
      <c r="Q294" s="9">
        <v>963</v>
      </c>
      <c r="R294" s="9">
        <v>967</v>
      </c>
      <c r="S294" s="9">
        <v>2119</v>
      </c>
      <c r="T294" s="9">
        <f t="shared" si="51"/>
        <v>42088</v>
      </c>
      <c r="U294" s="98" t="s">
        <v>500</v>
      </c>
    </row>
    <row r="295" spans="1:21" ht="15.75">
      <c r="A295" s="13" t="s">
        <v>474</v>
      </c>
      <c r="B295" s="9">
        <v>94</v>
      </c>
      <c r="C295" s="9">
        <v>103</v>
      </c>
      <c r="D295" s="9">
        <v>348</v>
      </c>
      <c r="E295" s="9">
        <v>2638</v>
      </c>
      <c r="F295" s="9">
        <v>0</v>
      </c>
      <c r="G295" s="9">
        <v>1680</v>
      </c>
      <c r="H295" s="9">
        <v>900</v>
      </c>
      <c r="I295" s="9">
        <v>1142</v>
      </c>
      <c r="J295" s="9">
        <v>850</v>
      </c>
      <c r="K295" s="9">
        <v>727</v>
      </c>
      <c r="L295" s="9">
        <v>242</v>
      </c>
      <c r="M295" s="9">
        <v>4915</v>
      </c>
      <c r="N295" s="9">
        <v>4142</v>
      </c>
      <c r="O295" s="9">
        <v>1875</v>
      </c>
      <c r="P295" s="9">
        <v>1123</v>
      </c>
      <c r="Q295" s="9">
        <v>703</v>
      </c>
      <c r="R295" s="9">
        <v>2017</v>
      </c>
      <c r="S295" s="9">
        <v>1760</v>
      </c>
      <c r="T295" s="9">
        <f t="shared" si="51"/>
        <v>25259</v>
      </c>
      <c r="U295" s="98" t="s">
        <v>503</v>
      </c>
    </row>
    <row r="296" spans="1:21" ht="15.75">
      <c r="A296" s="13" t="s">
        <v>475</v>
      </c>
      <c r="B296" s="9">
        <v>82</v>
      </c>
      <c r="C296" s="9">
        <v>126</v>
      </c>
      <c r="D296" s="9">
        <v>390</v>
      </c>
      <c r="E296" s="9">
        <v>2303</v>
      </c>
      <c r="F296" s="9">
        <v>0</v>
      </c>
      <c r="G296" s="9">
        <v>1698</v>
      </c>
      <c r="H296" s="9">
        <v>1010</v>
      </c>
      <c r="I296" s="9">
        <v>1120</v>
      </c>
      <c r="J296" s="9">
        <v>1053</v>
      </c>
      <c r="K296" s="9">
        <v>620</v>
      </c>
      <c r="L296" s="9">
        <v>213</v>
      </c>
      <c r="M296" s="9">
        <v>2172</v>
      </c>
      <c r="N296" s="9">
        <v>3658</v>
      </c>
      <c r="O296" s="9">
        <v>2200</v>
      </c>
      <c r="P296" s="9">
        <v>1256</v>
      </c>
      <c r="Q296" s="9">
        <v>848</v>
      </c>
      <c r="R296" s="9">
        <v>1740</v>
      </c>
      <c r="S296" s="9">
        <v>1882</v>
      </c>
      <c r="T296" s="9">
        <f t="shared" si="51"/>
        <v>22371</v>
      </c>
      <c r="U296" s="98" t="s">
        <v>507</v>
      </c>
    </row>
    <row r="297" spans="1:21" ht="15.75">
      <c r="A297" s="13" t="s">
        <v>476</v>
      </c>
      <c r="B297" s="9">
        <v>84</v>
      </c>
      <c r="C297" s="9">
        <v>113</v>
      </c>
      <c r="D297" s="9">
        <v>314</v>
      </c>
      <c r="E297" s="9">
        <v>1100</v>
      </c>
      <c r="F297" s="9">
        <v>0</v>
      </c>
      <c r="G297" s="9">
        <v>1380</v>
      </c>
      <c r="H297" s="9">
        <v>857</v>
      </c>
      <c r="I297" s="9">
        <v>931</v>
      </c>
      <c r="J297" s="9">
        <v>851</v>
      </c>
      <c r="K297" s="9">
        <v>745</v>
      </c>
      <c r="L297" s="9">
        <v>229</v>
      </c>
      <c r="M297" s="9">
        <v>4418</v>
      </c>
      <c r="N297" s="9">
        <v>4000</v>
      </c>
      <c r="O297" s="9">
        <v>2000</v>
      </c>
      <c r="P297" s="9">
        <v>954</v>
      </c>
      <c r="Q297" s="9">
        <v>603</v>
      </c>
      <c r="R297" s="9">
        <v>1912</v>
      </c>
      <c r="S297" s="9">
        <v>1654</v>
      </c>
      <c r="T297" s="9">
        <f t="shared" si="51"/>
        <v>22145</v>
      </c>
      <c r="U297" s="98" t="s">
        <v>508</v>
      </c>
    </row>
    <row r="298" spans="1:21" ht="15.75">
      <c r="A298" s="13" t="s">
        <v>477</v>
      </c>
      <c r="B298" s="9">
        <v>84</v>
      </c>
      <c r="C298" s="9">
        <v>107</v>
      </c>
      <c r="D298" s="9">
        <v>16</v>
      </c>
      <c r="E298" s="9">
        <v>122</v>
      </c>
      <c r="F298" s="9">
        <v>0</v>
      </c>
      <c r="G298" s="9">
        <v>1246</v>
      </c>
      <c r="H298" s="9">
        <v>234</v>
      </c>
      <c r="I298" s="9">
        <v>239</v>
      </c>
      <c r="J298" s="9">
        <v>546</v>
      </c>
      <c r="K298" s="9">
        <v>295</v>
      </c>
      <c r="L298" s="9">
        <v>162</v>
      </c>
      <c r="M298" s="9">
        <v>0</v>
      </c>
      <c r="N298" s="9">
        <v>2098</v>
      </c>
      <c r="O298" s="9">
        <v>800</v>
      </c>
      <c r="P298" s="9">
        <v>44</v>
      </c>
      <c r="Q298" s="9">
        <v>500</v>
      </c>
      <c r="R298" s="9">
        <v>1380</v>
      </c>
      <c r="S298" s="9">
        <v>1359</v>
      </c>
      <c r="T298" s="9">
        <f t="shared" si="51"/>
        <v>9232</v>
      </c>
      <c r="U298" s="98" t="s">
        <v>510</v>
      </c>
    </row>
    <row r="299" spans="1:21" ht="15.75">
      <c r="A299" s="13" t="s">
        <v>478</v>
      </c>
      <c r="B299" s="9">
        <v>82</v>
      </c>
      <c r="C299" s="9">
        <v>97</v>
      </c>
      <c r="D299" s="9">
        <v>39</v>
      </c>
      <c r="E299" s="9">
        <v>618</v>
      </c>
      <c r="F299" s="9">
        <v>0</v>
      </c>
      <c r="G299" s="9">
        <v>1552</v>
      </c>
      <c r="H299" s="9">
        <v>295</v>
      </c>
      <c r="I299" s="9">
        <v>138</v>
      </c>
      <c r="J299" s="9">
        <v>972</v>
      </c>
      <c r="K299" s="9">
        <v>97</v>
      </c>
      <c r="L299" s="9">
        <v>141</v>
      </c>
      <c r="M299" s="9">
        <v>3207</v>
      </c>
      <c r="N299" s="9">
        <v>968</v>
      </c>
      <c r="O299" s="9">
        <v>681</v>
      </c>
      <c r="P299" s="9">
        <v>255</v>
      </c>
      <c r="Q299" s="9">
        <v>478</v>
      </c>
      <c r="R299" s="9">
        <v>1686</v>
      </c>
      <c r="S299" s="9">
        <v>1542</v>
      </c>
      <c r="T299" s="9">
        <f t="shared" si="51"/>
        <v>12848</v>
      </c>
      <c r="U299" s="98" t="s">
        <v>513</v>
      </c>
    </row>
    <row r="300" spans="1:21" ht="15.75">
      <c r="A300" s="13" t="s">
        <v>479</v>
      </c>
      <c r="B300" s="9">
        <v>80</v>
      </c>
      <c r="C300" s="9">
        <v>98</v>
      </c>
      <c r="D300" s="9">
        <v>362</v>
      </c>
      <c r="E300" s="9">
        <v>2113</v>
      </c>
      <c r="F300" s="9">
        <v>0</v>
      </c>
      <c r="G300" s="9">
        <v>1859</v>
      </c>
      <c r="H300" s="9">
        <v>850</v>
      </c>
      <c r="I300" s="9">
        <v>728</v>
      </c>
      <c r="J300" s="9">
        <v>448</v>
      </c>
      <c r="K300" s="9">
        <v>102</v>
      </c>
      <c r="L300" s="9">
        <v>194</v>
      </c>
      <c r="M300" s="9">
        <v>6061</v>
      </c>
      <c r="N300" s="9">
        <v>2674</v>
      </c>
      <c r="O300" s="9">
        <v>2451</v>
      </c>
      <c r="P300" s="9">
        <v>1619</v>
      </c>
      <c r="Q300" s="9">
        <v>492</v>
      </c>
      <c r="R300" s="9">
        <v>2216</v>
      </c>
      <c r="S300" s="9">
        <v>1662</v>
      </c>
      <c r="T300" s="9">
        <f t="shared" si="51"/>
        <v>24009</v>
      </c>
      <c r="U300" s="98" t="s">
        <v>515</v>
      </c>
    </row>
    <row r="301" spans="1:21" ht="15.75">
      <c r="A301" s="13" t="s">
        <v>480</v>
      </c>
      <c r="B301" s="9">
        <v>88</v>
      </c>
      <c r="C301" s="9">
        <v>126</v>
      </c>
      <c r="D301" s="9">
        <v>480</v>
      </c>
      <c r="E301" s="9">
        <v>2722</v>
      </c>
      <c r="F301" s="9">
        <v>0</v>
      </c>
      <c r="G301" s="9">
        <v>2571</v>
      </c>
      <c r="H301" s="9">
        <v>1271</v>
      </c>
      <c r="I301" s="9">
        <v>1246</v>
      </c>
      <c r="J301" s="9">
        <v>1001</v>
      </c>
      <c r="K301" s="9">
        <v>438</v>
      </c>
      <c r="L301" s="9">
        <v>239</v>
      </c>
      <c r="M301" s="9">
        <v>5884</v>
      </c>
      <c r="N301" s="9">
        <v>3312</v>
      </c>
      <c r="O301" s="9">
        <v>2887</v>
      </c>
      <c r="P301" s="9">
        <v>2078</v>
      </c>
      <c r="Q301" s="9">
        <v>870</v>
      </c>
      <c r="R301" s="9">
        <v>1858</v>
      </c>
      <c r="S301" s="9">
        <v>2304</v>
      </c>
      <c r="T301" s="9">
        <f t="shared" si="51"/>
        <v>29375</v>
      </c>
      <c r="U301" s="98" t="s">
        <v>517</v>
      </c>
    </row>
    <row r="302" spans="1:21" ht="15.75">
      <c r="A302" s="13" t="s">
        <v>481</v>
      </c>
      <c r="B302" s="9">
        <v>96</v>
      </c>
      <c r="C302" s="9">
        <v>128</v>
      </c>
      <c r="D302" s="9">
        <v>545</v>
      </c>
      <c r="E302" s="9">
        <v>2625</v>
      </c>
      <c r="F302" s="9">
        <v>0</v>
      </c>
      <c r="G302" s="9">
        <v>2090</v>
      </c>
      <c r="H302" s="9">
        <v>1080</v>
      </c>
      <c r="I302" s="9">
        <v>882</v>
      </c>
      <c r="J302" s="9">
        <v>1064</v>
      </c>
      <c r="K302" s="9">
        <v>1169</v>
      </c>
      <c r="L302" s="9">
        <v>230</v>
      </c>
      <c r="M302" s="9">
        <v>6194</v>
      </c>
      <c r="N302" s="9">
        <v>2370</v>
      </c>
      <c r="O302" s="9">
        <v>2988</v>
      </c>
      <c r="P302" s="9">
        <v>1968</v>
      </c>
      <c r="Q302" s="9">
        <v>996</v>
      </c>
      <c r="R302" s="9">
        <v>1750</v>
      </c>
      <c r="S302" s="9">
        <v>1972</v>
      </c>
      <c r="T302" s="9">
        <f>SUM(B302:S302)</f>
        <v>28147</v>
      </c>
      <c r="U302" s="98" t="s">
        <v>519</v>
      </c>
    </row>
    <row r="303" spans="1:21" ht="15.75">
      <c r="A303" s="13" t="s">
        <v>482</v>
      </c>
      <c r="B303" s="54">
        <v>39</v>
      </c>
      <c r="C303" s="54">
        <v>133</v>
      </c>
      <c r="D303" s="54">
        <v>534</v>
      </c>
      <c r="E303" s="54">
        <v>2860</v>
      </c>
      <c r="F303" s="54">
        <v>0</v>
      </c>
      <c r="G303" s="54">
        <v>2372</v>
      </c>
      <c r="H303" s="54">
        <v>1200</v>
      </c>
      <c r="I303" s="54">
        <v>1150</v>
      </c>
      <c r="J303" s="54">
        <v>1242</v>
      </c>
      <c r="K303" s="54">
        <v>1174</v>
      </c>
      <c r="L303" s="54">
        <v>218</v>
      </c>
      <c r="M303" s="54">
        <v>6426</v>
      </c>
      <c r="N303" s="54">
        <v>5321</v>
      </c>
      <c r="O303" s="54">
        <v>3157</v>
      </c>
      <c r="P303" s="54">
        <v>1929</v>
      </c>
      <c r="Q303" s="54">
        <v>916</v>
      </c>
      <c r="R303" s="54">
        <v>3421</v>
      </c>
      <c r="S303" s="54">
        <v>1990</v>
      </c>
      <c r="T303" s="9">
        <f>SUM(B303:S303)</f>
        <v>34082</v>
      </c>
      <c r="U303" s="98" t="s">
        <v>521</v>
      </c>
    </row>
    <row r="304" spans="1:21" ht="15.75">
      <c r="A304" s="43" t="s">
        <v>74</v>
      </c>
      <c r="B304" s="61">
        <f aca="true" t="shared" si="52" ref="B304:S304">SUM(B291:B303)</f>
        <v>998</v>
      </c>
      <c r="C304" s="61">
        <f t="shared" si="52"/>
        <v>1328</v>
      </c>
      <c r="D304" s="61">
        <f t="shared" si="52"/>
        <v>4012</v>
      </c>
      <c r="E304" s="61">
        <f t="shared" si="52"/>
        <v>17101</v>
      </c>
      <c r="F304" s="61">
        <f t="shared" si="52"/>
        <v>0</v>
      </c>
      <c r="G304" s="61">
        <f t="shared" si="52"/>
        <v>20599</v>
      </c>
      <c r="H304" s="61">
        <f t="shared" si="52"/>
        <v>9821</v>
      </c>
      <c r="I304" s="61">
        <f t="shared" si="52"/>
        <v>11156</v>
      </c>
      <c r="J304" s="61">
        <f>SUM(J291:J303)</f>
        <v>10316</v>
      </c>
      <c r="K304" s="61">
        <f t="shared" si="52"/>
        <v>7179</v>
      </c>
      <c r="L304" s="61">
        <f t="shared" si="52"/>
        <v>2324</v>
      </c>
      <c r="M304" s="61">
        <f t="shared" si="52"/>
        <v>53534</v>
      </c>
      <c r="N304" s="61">
        <f t="shared" si="52"/>
        <v>40566</v>
      </c>
      <c r="O304" s="61">
        <f t="shared" si="52"/>
        <v>36654</v>
      </c>
      <c r="P304" s="61">
        <f t="shared" si="52"/>
        <v>13594</v>
      </c>
      <c r="Q304" s="61">
        <f t="shared" si="52"/>
        <v>8434</v>
      </c>
      <c r="R304" s="61">
        <f t="shared" si="52"/>
        <v>23082</v>
      </c>
      <c r="S304" s="61">
        <f t="shared" si="52"/>
        <v>21385</v>
      </c>
      <c r="T304" s="61">
        <f>SUM(T291:T303)</f>
        <v>282083</v>
      </c>
      <c r="U304" s="98"/>
    </row>
    <row r="306" ht="15.75">
      <c r="C306" s="102" t="s">
        <v>501</v>
      </c>
    </row>
    <row r="307" ht="15.75">
      <c r="C307" s="102" t="s">
        <v>466</v>
      </c>
    </row>
    <row r="308" ht="15.75">
      <c r="C308" s="102" t="s">
        <v>502</v>
      </c>
    </row>
    <row r="309" spans="2:7" ht="15.75">
      <c r="B309" s="102"/>
      <c r="C309" s="102" t="s">
        <v>511</v>
      </c>
      <c r="D309" s="106"/>
      <c r="E309" s="106"/>
      <c r="F309" s="106"/>
      <c r="G309" s="102"/>
    </row>
    <row r="311" spans="1:25" ht="18.75" customHeight="1">
      <c r="A311" s="9" t="s">
        <v>18</v>
      </c>
      <c r="B311" s="9" t="s">
        <v>72</v>
      </c>
      <c r="C311" s="9" t="s">
        <v>2</v>
      </c>
      <c r="D311" s="9" t="s">
        <v>3</v>
      </c>
      <c r="E311" s="9" t="s">
        <v>4</v>
      </c>
      <c r="F311" s="9" t="s">
        <v>5</v>
      </c>
      <c r="G311" s="9" t="s">
        <v>6</v>
      </c>
      <c r="H311" s="9" t="s">
        <v>7</v>
      </c>
      <c r="I311" s="9" t="s">
        <v>8</v>
      </c>
      <c r="J311" s="9" t="s">
        <v>9</v>
      </c>
      <c r="K311" s="9" t="s">
        <v>10</v>
      </c>
      <c r="L311" s="9" t="s">
        <v>11</v>
      </c>
      <c r="M311" s="9" t="s">
        <v>12</v>
      </c>
      <c r="N311" s="9" t="s">
        <v>13</v>
      </c>
      <c r="O311" s="9" t="s">
        <v>69</v>
      </c>
      <c r="P311" s="9" t="s">
        <v>15</v>
      </c>
      <c r="Q311" s="9" t="s">
        <v>16</v>
      </c>
      <c r="R311" s="9" t="s">
        <v>217</v>
      </c>
      <c r="S311" s="9" t="s">
        <v>218</v>
      </c>
      <c r="T311" s="107" t="s">
        <v>525</v>
      </c>
      <c r="U311" s="9" t="s">
        <v>18</v>
      </c>
      <c r="V311" s="9" t="s">
        <v>526</v>
      </c>
      <c r="W311" s="9" t="s">
        <v>527</v>
      </c>
      <c r="X311" s="107" t="s">
        <v>528</v>
      </c>
      <c r="Y311" s="9" t="s">
        <v>529</v>
      </c>
    </row>
    <row r="312" spans="1:25" ht="18.75" customHeight="1">
      <c r="A312" s="13" t="s">
        <v>524</v>
      </c>
      <c r="B312" s="9">
        <v>134</v>
      </c>
      <c r="C312" s="9">
        <v>82</v>
      </c>
      <c r="D312" s="9">
        <v>511</v>
      </c>
      <c r="E312" s="9">
        <v>2224</v>
      </c>
      <c r="F312" s="9">
        <v>0</v>
      </c>
      <c r="G312" s="9">
        <v>1896</v>
      </c>
      <c r="H312" s="9">
        <v>377</v>
      </c>
      <c r="I312" s="9">
        <v>1101</v>
      </c>
      <c r="J312" s="9">
        <v>816</v>
      </c>
      <c r="K312" s="9">
        <v>656</v>
      </c>
      <c r="L312" s="9">
        <v>199</v>
      </c>
      <c r="M312" s="9">
        <v>3762</v>
      </c>
      <c r="N312" s="9">
        <v>3025</v>
      </c>
      <c r="O312" s="9">
        <v>2368</v>
      </c>
      <c r="P312" s="9">
        <v>1453</v>
      </c>
      <c r="Q312" s="9">
        <v>637</v>
      </c>
      <c r="R312" s="9">
        <v>1608</v>
      </c>
      <c r="S312" s="9">
        <v>1650</v>
      </c>
      <c r="T312" s="108">
        <f aca="true" t="shared" si="53" ref="T312:T323">SUM(B312:S312)</f>
        <v>22499</v>
      </c>
      <c r="U312" s="13" t="s">
        <v>524</v>
      </c>
      <c r="V312" s="9">
        <v>3032</v>
      </c>
      <c r="W312" s="9">
        <v>4543</v>
      </c>
      <c r="X312" s="109">
        <f>V312+W312</f>
        <v>7575</v>
      </c>
      <c r="Y312" s="98" t="s">
        <v>530</v>
      </c>
    </row>
    <row r="313" spans="1:25" ht="18.75" customHeight="1">
      <c r="A313" s="13" t="s">
        <v>537</v>
      </c>
      <c r="B313" s="9">
        <v>66</v>
      </c>
      <c r="C313" s="54">
        <v>100</v>
      </c>
      <c r="D313" s="9">
        <v>277</v>
      </c>
      <c r="E313" s="9">
        <v>1369</v>
      </c>
      <c r="F313" s="9">
        <v>0</v>
      </c>
      <c r="G313" s="9">
        <v>1139</v>
      </c>
      <c r="H313" s="9">
        <v>365</v>
      </c>
      <c r="I313" s="9">
        <v>1568</v>
      </c>
      <c r="J313" s="9">
        <v>677</v>
      </c>
      <c r="K313" s="9">
        <v>358</v>
      </c>
      <c r="L313" s="9">
        <v>99</v>
      </c>
      <c r="M313" s="9">
        <v>2781</v>
      </c>
      <c r="N313" s="9">
        <v>4016</v>
      </c>
      <c r="O313" s="9">
        <v>1229</v>
      </c>
      <c r="P313" s="9">
        <v>693</v>
      </c>
      <c r="Q313" s="9">
        <v>309</v>
      </c>
      <c r="R313" s="9">
        <v>1522</v>
      </c>
      <c r="S313" s="9">
        <v>1313</v>
      </c>
      <c r="T313" s="108">
        <f t="shared" si="53"/>
        <v>17881</v>
      </c>
      <c r="U313" s="13" t="s">
        <v>537</v>
      </c>
      <c r="V313" s="9">
        <v>3109</v>
      </c>
      <c r="W313" s="9">
        <v>4477</v>
      </c>
      <c r="X313" s="109">
        <f>V313+W313</f>
        <v>7586</v>
      </c>
      <c r="Y313" s="98" t="s">
        <v>540</v>
      </c>
    </row>
    <row r="314" spans="1:25" ht="18.75" customHeight="1">
      <c r="A314" s="13" t="s">
        <v>543</v>
      </c>
      <c r="B314" s="9">
        <v>93</v>
      </c>
      <c r="C314" s="54">
        <v>131</v>
      </c>
      <c r="D314" s="9">
        <v>518</v>
      </c>
      <c r="E314" s="9">
        <v>2837</v>
      </c>
      <c r="F314" s="9">
        <v>0</v>
      </c>
      <c r="G314" s="9">
        <v>2368</v>
      </c>
      <c r="H314" s="9">
        <v>1016</v>
      </c>
      <c r="I314" s="9">
        <v>1526</v>
      </c>
      <c r="J314" s="9">
        <v>980</v>
      </c>
      <c r="K314" s="9">
        <v>876</v>
      </c>
      <c r="L314" s="9">
        <v>115</v>
      </c>
      <c r="M314" s="9">
        <v>8869</v>
      </c>
      <c r="N314" s="9">
        <v>5842</v>
      </c>
      <c r="O314" s="9">
        <v>2957</v>
      </c>
      <c r="P314" s="9">
        <v>668</v>
      </c>
      <c r="Q314" s="9">
        <v>992</v>
      </c>
      <c r="R314" s="9">
        <v>2744</v>
      </c>
      <c r="S314" s="9">
        <v>1919</v>
      </c>
      <c r="T314" s="108">
        <f t="shared" si="53"/>
        <v>34451</v>
      </c>
      <c r="U314" s="13" t="s">
        <v>543</v>
      </c>
      <c r="V314" s="9">
        <v>2159</v>
      </c>
      <c r="W314" s="9">
        <v>2388</v>
      </c>
      <c r="X314" s="109">
        <f>V314+W314</f>
        <v>4547</v>
      </c>
      <c r="Y314" s="98" t="s">
        <v>544</v>
      </c>
    </row>
    <row r="315" spans="1:25" ht="18.75" customHeight="1">
      <c r="A315" s="13" t="s">
        <v>545</v>
      </c>
      <c r="B315" s="9">
        <v>74</v>
      </c>
      <c r="C315" s="9">
        <v>100</v>
      </c>
      <c r="D315" s="9">
        <v>458</v>
      </c>
      <c r="E315" s="9">
        <v>2393</v>
      </c>
      <c r="F315" s="9">
        <v>0</v>
      </c>
      <c r="G315" s="9">
        <v>2229</v>
      </c>
      <c r="H315" s="9">
        <v>821</v>
      </c>
      <c r="I315" s="9">
        <v>1162</v>
      </c>
      <c r="J315" s="9">
        <v>940</v>
      </c>
      <c r="K315" s="9">
        <v>778</v>
      </c>
      <c r="L315" s="9">
        <v>218</v>
      </c>
      <c r="M315" s="9">
        <v>5607</v>
      </c>
      <c r="N315" s="9">
        <v>4414</v>
      </c>
      <c r="O315" s="9">
        <v>2343</v>
      </c>
      <c r="P315" s="9">
        <v>1705</v>
      </c>
      <c r="Q315" s="9">
        <v>838</v>
      </c>
      <c r="R315" s="9">
        <v>1966</v>
      </c>
      <c r="S315" s="9">
        <v>1784</v>
      </c>
      <c r="T315" s="108">
        <f t="shared" si="53"/>
        <v>27830</v>
      </c>
      <c r="U315" s="13" t="s">
        <v>545</v>
      </c>
      <c r="V315" s="9">
        <v>2525</v>
      </c>
      <c r="W315" s="9">
        <v>4519</v>
      </c>
      <c r="X315" s="108">
        <f>SUM(V315:W315)</f>
        <v>7044</v>
      </c>
      <c r="Y315" s="98" t="s">
        <v>454</v>
      </c>
    </row>
    <row r="316" spans="1:25" ht="18.75" customHeight="1">
      <c r="A316" s="13" t="s">
        <v>546</v>
      </c>
      <c r="B316" s="9">
        <v>68</v>
      </c>
      <c r="C316" s="9">
        <v>102</v>
      </c>
      <c r="D316" s="9">
        <v>469</v>
      </c>
      <c r="E316" s="9">
        <v>2776</v>
      </c>
      <c r="F316" s="9">
        <v>0</v>
      </c>
      <c r="G316" s="9">
        <v>2294</v>
      </c>
      <c r="H316" s="9">
        <v>987</v>
      </c>
      <c r="I316" s="9">
        <v>1414</v>
      </c>
      <c r="J316" s="9">
        <v>1080</v>
      </c>
      <c r="K316" s="9">
        <v>872</v>
      </c>
      <c r="L316" s="9">
        <v>235</v>
      </c>
      <c r="M316" s="9">
        <v>5352</v>
      </c>
      <c r="N316" s="9">
        <v>4332</v>
      </c>
      <c r="O316" s="9">
        <v>2806</v>
      </c>
      <c r="P316" s="9">
        <v>1894</v>
      </c>
      <c r="Q316" s="9">
        <v>928</v>
      </c>
      <c r="R316" s="9">
        <v>2524</v>
      </c>
      <c r="S316" s="9">
        <v>1937</v>
      </c>
      <c r="T316" s="108">
        <f t="shared" si="53"/>
        <v>30070</v>
      </c>
      <c r="U316" s="13" t="s">
        <v>546</v>
      </c>
      <c r="V316" s="9">
        <v>2638</v>
      </c>
      <c r="W316" s="9">
        <v>4463</v>
      </c>
      <c r="X316" s="108">
        <f aca="true" t="shared" si="54" ref="X316:X323">V316+W316</f>
        <v>7101</v>
      </c>
      <c r="Y316" s="98" t="s">
        <v>454</v>
      </c>
    </row>
    <row r="317" spans="1:25" ht="18.75" customHeight="1">
      <c r="A317" s="13" t="s">
        <v>547</v>
      </c>
      <c r="B317" s="9">
        <v>73</v>
      </c>
      <c r="C317" s="9">
        <v>112</v>
      </c>
      <c r="D317" s="9">
        <v>513</v>
      </c>
      <c r="E317" s="9">
        <v>2831</v>
      </c>
      <c r="F317" s="9">
        <v>0</v>
      </c>
      <c r="G317" s="9">
        <v>2583</v>
      </c>
      <c r="H317" s="9">
        <v>900</v>
      </c>
      <c r="I317" s="9">
        <v>1996</v>
      </c>
      <c r="J317" s="9">
        <v>990</v>
      </c>
      <c r="K317" s="9">
        <v>777</v>
      </c>
      <c r="L317" s="9">
        <v>244</v>
      </c>
      <c r="M317" s="9">
        <v>5641</v>
      </c>
      <c r="N317" s="9">
        <v>3696</v>
      </c>
      <c r="O317" s="9">
        <v>2180</v>
      </c>
      <c r="P317" s="9">
        <v>1525</v>
      </c>
      <c r="Q317" s="9">
        <v>802</v>
      </c>
      <c r="R317" s="9">
        <v>2322</v>
      </c>
      <c r="S317" s="9">
        <v>2144</v>
      </c>
      <c r="T317" s="108">
        <f t="shared" si="53"/>
        <v>29329</v>
      </c>
      <c r="U317" s="13" t="s">
        <v>547</v>
      </c>
      <c r="V317" s="9">
        <v>2812</v>
      </c>
      <c r="W317" s="9">
        <v>3743</v>
      </c>
      <c r="X317" s="108">
        <f t="shared" si="54"/>
        <v>6555</v>
      </c>
      <c r="Y317" s="98" t="s">
        <v>575</v>
      </c>
    </row>
    <row r="318" spans="1:25" ht="18.75" customHeight="1">
      <c r="A318" s="13" t="s">
        <v>548</v>
      </c>
      <c r="B318" s="9">
        <v>75</v>
      </c>
      <c r="C318" s="9">
        <v>93</v>
      </c>
      <c r="D318" s="9">
        <v>313</v>
      </c>
      <c r="E318" s="9">
        <v>290</v>
      </c>
      <c r="F318" s="9">
        <v>0</v>
      </c>
      <c r="G318" s="9">
        <v>1201</v>
      </c>
      <c r="H318" s="9">
        <v>106</v>
      </c>
      <c r="I318" s="9">
        <v>666</v>
      </c>
      <c r="J318" s="9">
        <v>0</v>
      </c>
      <c r="K318" s="9">
        <v>20</v>
      </c>
      <c r="L318" s="9">
        <v>140</v>
      </c>
      <c r="M318" s="9">
        <v>6992</v>
      </c>
      <c r="N318" s="9">
        <v>2027</v>
      </c>
      <c r="O318" s="9">
        <v>819</v>
      </c>
      <c r="P318" s="9">
        <v>590</v>
      </c>
      <c r="Q318" s="9">
        <v>560</v>
      </c>
      <c r="R318" s="9">
        <v>2172</v>
      </c>
      <c r="S318" s="9">
        <v>1084</v>
      </c>
      <c r="T318" s="108">
        <f t="shared" si="53"/>
        <v>17148</v>
      </c>
      <c r="U318" s="13" t="s">
        <v>548</v>
      </c>
      <c r="V318" s="9">
        <v>2656</v>
      </c>
      <c r="W318" s="9">
        <v>3519</v>
      </c>
      <c r="X318" s="108">
        <f t="shared" si="54"/>
        <v>6175</v>
      </c>
      <c r="Y318" s="98" t="s">
        <v>574</v>
      </c>
    </row>
    <row r="319" spans="1:25" ht="18.75" customHeight="1">
      <c r="A319" s="13" t="s">
        <v>549</v>
      </c>
      <c r="B319" s="9">
        <v>73</v>
      </c>
      <c r="C319" s="9">
        <v>92</v>
      </c>
      <c r="D319" s="9">
        <v>264</v>
      </c>
      <c r="E319" s="9">
        <v>690</v>
      </c>
      <c r="F319" s="9">
        <v>0</v>
      </c>
      <c r="G319" s="9">
        <v>1731</v>
      </c>
      <c r="H319" s="9">
        <v>335</v>
      </c>
      <c r="I319" s="9">
        <v>1166</v>
      </c>
      <c r="J319" s="9">
        <v>150</v>
      </c>
      <c r="K319" s="9">
        <v>21</v>
      </c>
      <c r="L319" s="9">
        <v>131</v>
      </c>
      <c r="M319" s="9">
        <v>5532</v>
      </c>
      <c r="N319" s="9">
        <v>604</v>
      </c>
      <c r="O319" s="9">
        <v>654</v>
      </c>
      <c r="P319" s="9">
        <v>552</v>
      </c>
      <c r="Q319" s="9">
        <v>519</v>
      </c>
      <c r="R319" s="9">
        <v>2067</v>
      </c>
      <c r="S319" s="9">
        <v>1799</v>
      </c>
      <c r="T319" s="108">
        <f t="shared" si="53"/>
        <v>16380</v>
      </c>
      <c r="U319" s="13" t="s">
        <v>549</v>
      </c>
      <c r="V319" s="9">
        <v>1313</v>
      </c>
      <c r="W319" s="9">
        <v>567</v>
      </c>
      <c r="X319" s="108">
        <f t="shared" si="54"/>
        <v>1880</v>
      </c>
      <c r="Y319" s="98" t="s">
        <v>454</v>
      </c>
    </row>
    <row r="320" spans="1:25" ht="18.75" customHeight="1">
      <c r="A320" s="13" t="s">
        <v>550</v>
      </c>
      <c r="B320" s="9">
        <v>74</v>
      </c>
      <c r="C320" s="9">
        <v>110</v>
      </c>
      <c r="D320" s="9">
        <v>376</v>
      </c>
      <c r="E320" s="9">
        <v>2290</v>
      </c>
      <c r="F320" s="9">
        <v>0</v>
      </c>
      <c r="G320" s="9">
        <v>1695</v>
      </c>
      <c r="H320" s="9">
        <v>335</v>
      </c>
      <c r="I320" s="9">
        <v>1166</v>
      </c>
      <c r="J320" s="9">
        <v>832</v>
      </c>
      <c r="K320" s="9">
        <v>744</v>
      </c>
      <c r="L320" s="9">
        <v>230</v>
      </c>
      <c r="M320" s="9">
        <v>5660</v>
      </c>
      <c r="N320" s="9">
        <v>2594</v>
      </c>
      <c r="O320" s="9">
        <v>2176</v>
      </c>
      <c r="P320" s="9">
        <v>1552</v>
      </c>
      <c r="Q320" s="9">
        <v>506</v>
      </c>
      <c r="R320" s="9">
        <v>2067</v>
      </c>
      <c r="S320" s="9">
        <v>1439</v>
      </c>
      <c r="T320" s="108">
        <f t="shared" si="53"/>
        <v>23846</v>
      </c>
      <c r="U320" s="13" t="s">
        <v>550</v>
      </c>
      <c r="V320" s="9">
        <v>899</v>
      </c>
      <c r="W320" s="9">
        <v>560</v>
      </c>
      <c r="X320" s="108">
        <f t="shared" si="54"/>
        <v>1459</v>
      </c>
      <c r="Y320" s="98" t="s">
        <v>576</v>
      </c>
    </row>
    <row r="321" spans="1:25" ht="18.75" customHeight="1">
      <c r="A321" s="13" t="s">
        <v>551</v>
      </c>
      <c r="B321" s="9">
        <v>82</v>
      </c>
      <c r="C321" s="9">
        <v>129</v>
      </c>
      <c r="D321" s="9">
        <v>562</v>
      </c>
      <c r="E321" s="9">
        <v>3456</v>
      </c>
      <c r="F321" s="9">
        <v>0</v>
      </c>
      <c r="G321" s="9">
        <v>2621</v>
      </c>
      <c r="H321" s="9">
        <v>1271</v>
      </c>
      <c r="I321" s="9">
        <v>1246</v>
      </c>
      <c r="J321" s="9">
        <v>1001</v>
      </c>
      <c r="K321" s="9">
        <v>438</v>
      </c>
      <c r="L321" s="9">
        <v>239</v>
      </c>
      <c r="M321" s="9">
        <v>7860</v>
      </c>
      <c r="N321" s="9">
        <v>3312</v>
      </c>
      <c r="O321" s="9">
        <v>2514</v>
      </c>
      <c r="P321" s="9">
        <v>2066</v>
      </c>
      <c r="Q321" s="9">
        <v>870</v>
      </c>
      <c r="R321" s="9">
        <v>1858</v>
      </c>
      <c r="S321" s="9">
        <v>2474</v>
      </c>
      <c r="T321" s="108">
        <f t="shared" si="53"/>
        <v>31999</v>
      </c>
      <c r="U321" s="13" t="s">
        <v>551</v>
      </c>
      <c r="V321" s="9">
        <v>1665</v>
      </c>
      <c r="W321" s="9">
        <v>923</v>
      </c>
      <c r="X321" s="108">
        <f t="shared" si="54"/>
        <v>2588</v>
      </c>
      <c r="Y321" s="98"/>
    </row>
    <row r="322" spans="1:25" ht="18.75" customHeight="1">
      <c r="A322" s="13" t="s">
        <v>552</v>
      </c>
      <c r="B322" s="9">
        <v>84</v>
      </c>
      <c r="C322" s="9">
        <v>116</v>
      </c>
      <c r="D322" s="9">
        <v>524</v>
      </c>
      <c r="E322" s="9">
        <v>2924</v>
      </c>
      <c r="F322" s="9">
        <v>0</v>
      </c>
      <c r="G322" s="9">
        <v>2624</v>
      </c>
      <c r="H322" s="9">
        <v>1080</v>
      </c>
      <c r="I322" s="9">
        <v>882</v>
      </c>
      <c r="J322" s="9">
        <v>1237</v>
      </c>
      <c r="K322" s="9">
        <v>1169</v>
      </c>
      <c r="L322" s="9">
        <v>221</v>
      </c>
      <c r="M322" s="9">
        <v>6194</v>
      </c>
      <c r="N322" s="9">
        <v>4669</v>
      </c>
      <c r="O322" s="9">
        <v>2133</v>
      </c>
      <c r="P322" s="9">
        <v>2079</v>
      </c>
      <c r="Q322" s="9">
        <v>0</v>
      </c>
      <c r="R322" s="9">
        <v>1972</v>
      </c>
      <c r="S322" s="9">
        <v>2276</v>
      </c>
      <c r="T322" s="108">
        <f t="shared" si="53"/>
        <v>30184</v>
      </c>
      <c r="U322" s="13" t="s">
        <v>552</v>
      </c>
      <c r="V322" s="9">
        <v>2852</v>
      </c>
      <c r="W322" s="9">
        <v>3304</v>
      </c>
      <c r="X322" s="108">
        <f t="shared" si="54"/>
        <v>6156</v>
      </c>
      <c r="Y322" s="98"/>
    </row>
    <row r="323" spans="1:25" ht="18.75" customHeight="1">
      <c r="A323" s="13" t="s">
        <v>553</v>
      </c>
      <c r="B323" s="54">
        <v>81</v>
      </c>
      <c r="C323" s="54">
        <v>120</v>
      </c>
      <c r="D323" s="54">
        <v>499</v>
      </c>
      <c r="E323" s="54">
        <v>3000</v>
      </c>
      <c r="F323" s="54">
        <v>0</v>
      </c>
      <c r="G323" s="54">
        <v>2698</v>
      </c>
      <c r="H323" s="54">
        <v>947</v>
      </c>
      <c r="I323" s="54">
        <v>1150</v>
      </c>
      <c r="J323" s="54">
        <v>1642</v>
      </c>
      <c r="K323" s="54">
        <v>1530</v>
      </c>
      <c r="L323" s="54">
        <v>222</v>
      </c>
      <c r="M323" s="54">
        <v>5790</v>
      </c>
      <c r="N323" s="54">
        <v>5321</v>
      </c>
      <c r="O323" s="54">
        <v>858</v>
      </c>
      <c r="P323" s="54">
        <v>1971</v>
      </c>
      <c r="Q323" s="54">
        <v>686</v>
      </c>
      <c r="R323" s="54">
        <v>2196</v>
      </c>
      <c r="S323" s="54">
        <v>2229</v>
      </c>
      <c r="T323" s="108">
        <f t="shared" si="53"/>
        <v>30940</v>
      </c>
      <c r="U323" s="13" t="s">
        <v>553</v>
      </c>
      <c r="V323" s="9">
        <v>2900</v>
      </c>
      <c r="W323" s="9">
        <v>3354</v>
      </c>
      <c r="X323" s="108">
        <f t="shared" si="54"/>
        <v>6254</v>
      </c>
      <c r="Y323" s="98"/>
    </row>
    <row r="324" spans="1:25" ht="15.75">
      <c r="A324" s="43" t="s">
        <v>74</v>
      </c>
      <c r="B324" s="61">
        <f aca="true" t="shared" si="55" ref="B324:J324">SUM(B311:B323)</f>
        <v>977</v>
      </c>
      <c r="C324" s="61">
        <f t="shared" si="55"/>
        <v>1287</v>
      </c>
      <c r="D324" s="61">
        <f t="shared" si="55"/>
        <v>5284</v>
      </c>
      <c r="E324" s="61">
        <f t="shared" si="55"/>
        <v>27080</v>
      </c>
      <c r="F324" s="61">
        <f t="shared" si="55"/>
        <v>0</v>
      </c>
      <c r="G324" s="61">
        <f t="shared" si="55"/>
        <v>25079</v>
      </c>
      <c r="H324" s="61">
        <f t="shared" si="55"/>
        <v>8540</v>
      </c>
      <c r="I324" s="61">
        <f t="shared" si="55"/>
        <v>15043</v>
      </c>
      <c r="J324" s="61">
        <f t="shared" si="55"/>
        <v>10345</v>
      </c>
      <c r="K324" s="61">
        <f aca="true" t="shared" si="56" ref="K324:S324">SUM(K311:K323)</f>
        <v>8239</v>
      </c>
      <c r="L324" s="61">
        <f t="shared" si="56"/>
        <v>2293</v>
      </c>
      <c r="M324" s="61">
        <f t="shared" si="56"/>
        <v>70040</v>
      </c>
      <c r="N324" s="61">
        <f t="shared" si="56"/>
        <v>43852</v>
      </c>
      <c r="O324" s="61">
        <f t="shared" si="56"/>
        <v>23037</v>
      </c>
      <c r="P324" s="61">
        <f t="shared" si="56"/>
        <v>16748</v>
      </c>
      <c r="Q324" s="61">
        <f t="shared" si="56"/>
        <v>7647</v>
      </c>
      <c r="R324" s="61">
        <f t="shared" si="56"/>
        <v>25018</v>
      </c>
      <c r="S324" s="61">
        <f t="shared" si="56"/>
        <v>22048</v>
      </c>
      <c r="T324" s="110">
        <f>SUM(T311:T323)</f>
        <v>312557</v>
      </c>
      <c r="U324" s="9"/>
      <c r="V324" s="61">
        <f>SUM(V312:V323)</f>
        <v>28560</v>
      </c>
      <c r="W324" s="61">
        <f>SUM(W312:W323)</f>
        <v>36360</v>
      </c>
      <c r="X324" s="110">
        <f>SUM(V324:W324)</f>
        <v>64920</v>
      </c>
      <c r="Y324" s="98"/>
    </row>
  </sheetData>
  <sheetProtection/>
  <mergeCells count="4">
    <mergeCell ref="A1:D1"/>
    <mergeCell ref="A56:D56"/>
    <mergeCell ref="A75:D75"/>
    <mergeCell ref="A144:D144"/>
  </mergeCells>
  <printOptions/>
  <pageMargins left="0.1968503937007874" right="0.15748031496062992" top="0.3937007874015748" bottom="0.3937007874015748" header="0.11811023622047245" footer="0.118110236220472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9"/>
  <sheetViews>
    <sheetView zoomScalePageLayoutView="0" workbookViewId="0" topLeftCell="E352">
      <selection activeCell="T365" sqref="T365"/>
    </sheetView>
  </sheetViews>
  <sheetFormatPr defaultColWidth="5.8125" defaultRowHeight="25.5"/>
  <cols>
    <col min="1" max="1" width="10.18359375" style="1" customWidth="1"/>
    <col min="2" max="15" width="8.6328125" style="1" customWidth="1"/>
    <col min="16" max="16" width="7.90625" style="1" customWidth="1"/>
    <col min="17" max="17" width="7.2734375" style="1" bestFit="1" customWidth="1"/>
    <col min="18" max="18" width="5.8125" style="1" customWidth="1"/>
    <col min="19" max="20" width="7.54296875" style="1" customWidth="1"/>
    <col min="21" max="16384" width="5.8125" style="1" customWidth="1"/>
  </cols>
  <sheetData>
    <row r="1" spans="1:3" ht="15.75">
      <c r="A1" s="119" t="s">
        <v>79</v>
      </c>
      <c r="B1" s="119"/>
      <c r="C1" s="119"/>
    </row>
    <row r="2" spans="1:14" ht="19.5" customHeight="1">
      <c r="A2" s="2" t="s">
        <v>18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70</v>
      </c>
      <c r="G2" s="16" t="s">
        <v>6</v>
      </c>
      <c r="H2" s="16" t="s">
        <v>7</v>
      </c>
      <c r="I2" s="16" t="s">
        <v>8</v>
      </c>
      <c r="J2" s="17" t="s">
        <v>73</v>
      </c>
      <c r="K2" s="16" t="s">
        <v>11</v>
      </c>
      <c r="L2" s="16" t="s">
        <v>13</v>
      </c>
      <c r="M2" s="19" t="s">
        <v>75</v>
      </c>
      <c r="N2" s="3" t="s">
        <v>68</v>
      </c>
    </row>
    <row r="3" spans="1:14" ht="15.75">
      <c r="A3" s="7" t="s">
        <v>47</v>
      </c>
      <c r="B3" s="5">
        <v>5700</v>
      </c>
      <c r="C3" s="5">
        <v>8934</v>
      </c>
      <c r="D3" s="5">
        <v>6479</v>
      </c>
      <c r="E3" s="5">
        <v>15079</v>
      </c>
      <c r="F3" s="5">
        <v>21533</v>
      </c>
      <c r="G3" s="5">
        <v>2137</v>
      </c>
      <c r="H3" s="5">
        <v>17661</v>
      </c>
      <c r="I3" s="5">
        <v>30068</v>
      </c>
      <c r="J3" s="5">
        <v>83055</v>
      </c>
      <c r="K3" s="2">
        <v>58159</v>
      </c>
      <c r="L3" s="2">
        <v>74183</v>
      </c>
      <c r="M3" s="2">
        <v>69732</v>
      </c>
      <c r="N3" s="4">
        <f aca="true" t="shared" si="0" ref="N3:N14">SUM(B3:M3)</f>
        <v>392720</v>
      </c>
    </row>
    <row r="4" spans="1:14" ht="15.75">
      <c r="A4" s="7" t="s">
        <v>48</v>
      </c>
      <c r="B4" s="2">
        <v>3776</v>
      </c>
      <c r="C4" s="2">
        <v>3778</v>
      </c>
      <c r="D4" s="2">
        <v>2146</v>
      </c>
      <c r="E4" s="2">
        <v>9286</v>
      </c>
      <c r="F4" s="2">
        <v>27845</v>
      </c>
      <c r="G4" s="2">
        <v>11511</v>
      </c>
      <c r="H4" s="2">
        <v>19134</v>
      </c>
      <c r="I4" s="2">
        <v>18759</v>
      </c>
      <c r="J4" s="2">
        <v>35800</v>
      </c>
      <c r="K4" s="2">
        <v>34534</v>
      </c>
      <c r="L4" s="2">
        <v>35173</v>
      </c>
      <c r="M4" s="2">
        <v>54359</v>
      </c>
      <c r="N4" s="4">
        <f t="shared" si="0"/>
        <v>256101</v>
      </c>
    </row>
    <row r="5" spans="1:14" ht="15.75">
      <c r="A5" s="7" t="s">
        <v>49</v>
      </c>
      <c r="B5" s="2">
        <v>6162</v>
      </c>
      <c r="C5" s="2">
        <v>7074</v>
      </c>
      <c r="D5" s="2">
        <v>3073</v>
      </c>
      <c r="E5" s="2">
        <v>19613</v>
      </c>
      <c r="F5" s="2">
        <v>58404</v>
      </c>
      <c r="G5" s="2">
        <v>19014</v>
      </c>
      <c r="H5" s="2">
        <v>36338</v>
      </c>
      <c r="I5" s="2">
        <v>27387</v>
      </c>
      <c r="J5" s="2">
        <v>65704</v>
      </c>
      <c r="K5" s="2">
        <v>52817</v>
      </c>
      <c r="L5" s="2">
        <v>70423</v>
      </c>
      <c r="M5" s="2">
        <v>85094</v>
      </c>
      <c r="N5" s="4">
        <f t="shared" si="0"/>
        <v>451103</v>
      </c>
    </row>
    <row r="6" spans="1:14" ht="15.75">
      <c r="A6" s="7" t="s">
        <v>50</v>
      </c>
      <c r="B6" s="2">
        <v>6388</v>
      </c>
      <c r="C6" s="2">
        <v>6551</v>
      </c>
      <c r="D6" s="2">
        <v>2899</v>
      </c>
      <c r="E6" s="2">
        <v>20067</v>
      </c>
      <c r="F6" s="2">
        <v>60702</v>
      </c>
      <c r="G6" s="2">
        <v>17725</v>
      </c>
      <c r="H6" s="2">
        <v>36378</v>
      </c>
      <c r="I6" s="2">
        <v>26024</v>
      </c>
      <c r="J6" s="2">
        <v>65624</v>
      </c>
      <c r="K6" s="2">
        <v>49587</v>
      </c>
      <c r="L6" s="2">
        <v>65940</v>
      </c>
      <c r="M6" s="2">
        <v>80447</v>
      </c>
      <c r="N6" s="4">
        <f t="shared" si="0"/>
        <v>438332</v>
      </c>
    </row>
    <row r="7" spans="1:14" ht="15.75">
      <c r="A7" s="7" t="s">
        <v>51</v>
      </c>
      <c r="B7" s="2">
        <v>8128</v>
      </c>
      <c r="C7" s="2">
        <v>8983</v>
      </c>
      <c r="D7" s="2">
        <v>3225</v>
      </c>
      <c r="E7" s="2">
        <v>25161</v>
      </c>
      <c r="F7" s="2">
        <v>77653</v>
      </c>
      <c r="G7" s="2">
        <v>21367</v>
      </c>
      <c r="H7" s="2">
        <v>45583</v>
      </c>
      <c r="I7" s="2">
        <v>31928</v>
      </c>
      <c r="J7" s="2">
        <v>83382</v>
      </c>
      <c r="K7" s="2">
        <v>58329</v>
      </c>
      <c r="L7" s="2">
        <v>82889</v>
      </c>
      <c r="M7" s="2">
        <v>98238</v>
      </c>
      <c r="N7" s="4">
        <f t="shared" si="0"/>
        <v>544866</v>
      </c>
    </row>
    <row r="8" spans="1:14" ht="15.75">
      <c r="A8" s="7" t="s">
        <v>52</v>
      </c>
      <c r="B8" s="2">
        <v>8073</v>
      </c>
      <c r="C8" s="2">
        <v>8036</v>
      </c>
      <c r="D8" s="2">
        <v>3169</v>
      </c>
      <c r="E8" s="2">
        <v>23237</v>
      </c>
      <c r="F8" s="2">
        <v>64491</v>
      </c>
      <c r="G8" s="2">
        <v>20493</v>
      </c>
      <c r="H8" s="2">
        <v>42644</v>
      </c>
      <c r="I8" s="2">
        <v>28462</v>
      </c>
      <c r="J8" s="2">
        <v>73342</v>
      </c>
      <c r="K8" s="2">
        <v>54891</v>
      </c>
      <c r="L8" s="2">
        <v>67089</v>
      </c>
      <c r="M8" s="2">
        <v>89960</v>
      </c>
      <c r="N8" s="4">
        <f t="shared" si="0"/>
        <v>483887</v>
      </c>
    </row>
    <row r="9" spans="1:14" ht="15.75">
      <c r="A9" s="7" t="s">
        <v>53</v>
      </c>
      <c r="B9" s="2">
        <v>8516</v>
      </c>
      <c r="C9" s="2">
        <v>8131</v>
      </c>
      <c r="D9" s="2">
        <v>3302</v>
      </c>
      <c r="E9" s="2">
        <v>21189</v>
      </c>
      <c r="F9" s="2">
        <v>8422</v>
      </c>
      <c r="G9" s="2">
        <v>20365</v>
      </c>
      <c r="H9" s="2">
        <v>39777</v>
      </c>
      <c r="I9" s="2">
        <v>30331</v>
      </c>
      <c r="J9" s="2">
        <v>49411</v>
      </c>
      <c r="K9" s="2">
        <v>53080</v>
      </c>
      <c r="L9" s="2">
        <v>27081</v>
      </c>
      <c r="M9" s="2">
        <v>75828</v>
      </c>
      <c r="N9" s="4">
        <f t="shared" si="0"/>
        <v>345433</v>
      </c>
    </row>
    <row r="10" spans="1:14" ht="15.75">
      <c r="A10" s="7" t="s">
        <v>54</v>
      </c>
      <c r="B10" s="2">
        <v>8341</v>
      </c>
      <c r="C10" s="2">
        <v>8333</v>
      </c>
      <c r="D10" s="2">
        <v>3667</v>
      </c>
      <c r="E10" s="2">
        <v>19207</v>
      </c>
      <c r="F10" s="2">
        <v>4039</v>
      </c>
      <c r="G10" s="2">
        <v>19480</v>
      </c>
      <c r="H10" s="2">
        <v>37401</v>
      </c>
      <c r="I10" s="2">
        <v>28570</v>
      </c>
      <c r="J10" s="2">
        <v>47792</v>
      </c>
      <c r="K10" s="2">
        <v>68828</v>
      </c>
      <c r="L10" s="2">
        <v>22726</v>
      </c>
      <c r="M10" s="2">
        <v>73048</v>
      </c>
      <c r="N10" s="4">
        <f t="shared" si="0"/>
        <v>341432</v>
      </c>
    </row>
    <row r="11" spans="1:14" ht="15.75">
      <c r="A11" s="7" t="s">
        <v>55</v>
      </c>
      <c r="B11" s="2">
        <v>7660</v>
      </c>
      <c r="C11" s="2">
        <v>7544</v>
      </c>
      <c r="D11" s="2">
        <v>3201</v>
      </c>
      <c r="E11" s="2">
        <v>21871</v>
      </c>
      <c r="F11" s="2">
        <v>13204</v>
      </c>
      <c r="G11" s="2">
        <v>18923</v>
      </c>
      <c r="H11" s="2">
        <v>39690</v>
      </c>
      <c r="I11" s="2">
        <v>27495</v>
      </c>
      <c r="J11" s="2">
        <v>75450</v>
      </c>
      <c r="K11" s="2">
        <v>36391</v>
      </c>
      <c r="L11" s="2">
        <v>51554</v>
      </c>
      <c r="M11" s="2">
        <v>89461</v>
      </c>
      <c r="N11" s="4">
        <f t="shared" si="0"/>
        <v>392444</v>
      </c>
    </row>
    <row r="12" spans="1:14" ht="15.75">
      <c r="A12" s="7" t="s">
        <v>56</v>
      </c>
      <c r="B12" s="2">
        <v>6552</v>
      </c>
      <c r="C12" s="2">
        <v>6565</v>
      </c>
      <c r="D12" s="2">
        <v>3615</v>
      </c>
      <c r="E12" s="2">
        <v>24426</v>
      </c>
      <c r="F12" s="2">
        <v>17146</v>
      </c>
      <c r="G12" s="2">
        <v>18567</v>
      </c>
      <c r="H12" s="2">
        <v>42086</v>
      </c>
      <c r="I12" s="2">
        <v>26322</v>
      </c>
      <c r="J12" s="2">
        <v>80201</v>
      </c>
      <c r="K12" s="2">
        <v>52288</v>
      </c>
      <c r="L12" s="2">
        <v>64026</v>
      </c>
      <c r="M12" s="2">
        <v>89369</v>
      </c>
      <c r="N12" s="4">
        <f t="shared" si="0"/>
        <v>431163</v>
      </c>
    </row>
    <row r="13" spans="1:14" ht="15.75">
      <c r="A13" s="7" t="s">
        <v>57</v>
      </c>
      <c r="B13" s="2">
        <v>6482</v>
      </c>
      <c r="C13" s="2">
        <v>6704</v>
      </c>
      <c r="D13" s="2">
        <v>3384</v>
      </c>
      <c r="E13" s="2">
        <v>20258</v>
      </c>
      <c r="F13" s="2">
        <v>18073</v>
      </c>
      <c r="G13" s="2">
        <v>17201</v>
      </c>
      <c r="H13" s="2">
        <v>37191</v>
      </c>
      <c r="I13" s="2">
        <v>24794</v>
      </c>
      <c r="J13" s="2">
        <v>69880</v>
      </c>
      <c r="K13" s="2">
        <v>50557</v>
      </c>
      <c r="L13" s="2">
        <v>63922</v>
      </c>
      <c r="M13" s="2">
        <v>95883</v>
      </c>
      <c r="N13" s="4">
        <f t="shared" si="0"/>
        <v>414329</v>
      </c>
    </row>
    <row r="14" spans="1:14" ht="15.75">
      <c r="A14" s="7" t="s">
        <v>58</v>
      </c>
      <c r="B14" s="2">
        <v>5965</v>
      </c>
      <c r="C14" s="2">
        <v>6188</v>
      </c>
      <c r="D14" s="2">
        <v>3238</v>
      </c>
      <c r="E14" s="2">
        <v>20806</v>
      </c>
      <c r="F14" s="2">
        <v>18585</v>
      </c>
      <c r="G14" s="2">
        <v>17210</v>
      </c>
      <c r="H14" s="2">
        <v>35076</v>
      </c>
      <c r="I14" s="2">
        <v>23220</v>
      </c>
      <c r="J14" s="2">
        <v>65312</v>
      </c>
      <c r="K14" s="2">
        <v>49172</v>
      </c>
      <c r="L14" s="2">
        <v>58904</v>
      </c>
      <c r="M14" s="2">
        <v>81954</v>
      </c>
      <c r="N14" s="4">
        <f t="shared" si="0"/>
        <v>385630</v>
      </c>
    </row>
    <row r="15" spans="1:14" ht="15.75">
      <c r="A15" s="2" t="s">
        <v>110</v>
      </c>
      <c r="B15" s="2">
        <f>SUM(B3:B14)</f>
        <v>81743</v>
      </c>
      <c r="C15" s="2">
        <f aca="true" t="shared" si="1" ref="C15:N15">SUM(C3:C14)</f>
        <v>86821</v>
      </c>
      <c r="D15" s="2">
        <f t="shared" si="1"/>
        <v>41398</v>
      </c>
      <c r="E15" s="2">
        <f t="shared" si="1"/>
        <v>240200</v>
      </c>
      <c r="F15" s="2">
        <f t="shared" si="1"/>
        <v>390097</v>
      </c>
      <c r="G15" s="2">
        <f t="shared" si="1"/>
        <v>203993</v>
      </c>
      <c r="H15" s="2">
        <f t="shared" si="1"/>
        <v>428959</v>
      </c>
      <c r="I15" s="2">
        <f t="shared" si="1"/>
        <v>323360</v>
      </c>
      <c r="J15" s="2">
        <f t="shared" si="1"/>
        <v>794953</v>
      </c>
      <c r="K15" s="2">
        <f t="shared" si="1"/>
        <v>618633</v>
      </c>
      <c r="L15" s="2">
        <f t="shared" si="1"/>
        <v>683910</v>
      </c>
      <c r="M15" s="2">
        <f t="shared" si="1"/>
        <v>983373</v>
      </c>
      <c r="N15" s="2">
        <f t="shared" si="1"/>
        <v>4877440</v>
      </c>
    </row>
    <row r="16" spans="1:14" ht="19.5" customHeight="1">
      <c r="A16" s="18" t="s">
        <v>71</v>
      </c>
      <c r="B16" s="39">
        <f aca="true" t="shared" si="2" ref="B16:N16">B15/12</f>
        <v>6811.916666666667</v>
      </c>
      <c r="C16" s="39">
        <f t="shared" si="2"/>
        <v>7235.083333333333</v>
      </c>
      <c r="D16" s="39">
        <f t="shared" si="2"/>
        <v>3449.8333333333335</v>
      </c>
      <c r="E16" s="39">
        <f t="shared" si="2"/>
        <v>20016.666666666668</v>
      </c>
      <c r="F16" s="39">
        <f t="shared" si="2"/>
        <v>32508.083333333332</v>
      </c>
      <c r="G16" s="39">
        <f t="shared" si="2"/>
        <v>16999.416666666668</v>
      </c>
      <c r="H16" s="39">
        <f t="shared" si="2"/>
        <v>35746.583333333336</v>
      </c>
      <c r="I16" s="39">
        <f t="shared" si="2"/>
        <v>26946.666666666668</v>
      </c>
      <c r="J16" s="39">
        <f t="shared" si="2"/>
        <v>66246.08333333333</v>
      </c>
      <c r="K16" s="39">
        <f t="shared" si="2"/>
        <v>51552.75</v>
      </c>
      <c r="L16" s="39">
        <f t="shared" si="2"/>
        <v>56992.5</v>
      </c>
      <c r="M16" s="39">
        <f t="shared" si="2"/>
        <v>81947.75</v>
      </c>
      <c r="N16" s="39">
        <f t="shared" si="2"/>
        <v>406453.3333333333</v>
      </c>
    </row>
    <row r="17" spans="1:14" ht="19.5" customHeight="1">
      <c r="A17" s="46" t="s">
        <v>135</v>
      </c>
      <c r="B17" s="39">
        <f>B16/93</f>
        <v>73.24641577060932</v>
      </c>
      <c r="C17" s="39">
        <f>C16/129</f>
        <v>56.08591731266149</v>
      </c>
      <c r="D17" s="39">
        <f>D16/42</f>
        <v>82.13888888888889</v>
      </c>
      <c r="E17" s="39">
        <f>E16/194</f>
        <v>103.1786941580756</v>
      </c>
      <c r="F17" s="39">
        <f>F16/(296+359)</f>
        <v>49.63066157760814</v>
      </c>
      <c r="G17" s="39">
        <f>G16/368</f>
        <v>46.19406702898551</v>
      </c>
      <c r="H17" s="39">
        <f>H16/312</f>
        <v>114.57238247863249</v>
      </c>
      <c r="I17" s="39">
        <f>I16/(99+120+122)</f>
        <v>79.02248289345064</v>
      </c>
      <c r="J17" s="39">
        <f>J16/(127+295+282)</f>
        <v>94.09955018939394</v>
      </c>
      <c r="K17" s="39">
        <f>K16/(363+80)</f>
        <v>116.37189616252822</v>
      </c>
      <c r="L17" s="39">
        <f>L16/(48+32+48+176+270+176)</f>
        <v>75.99</v>
      </c>
      <c r="M17" s="39">
        <f>M16/(328+160+192+320)</f>
        <v>81.94775</v>
      </c>
      <c r="N17" s="42">
        <f>N16/5031</f>
        <v>80.78977009209567</v>
      </c>
    </row>
    <row r="18" spans="1:14" ht="19.5" customHeight="1">
      <c r="A18" s="47" t="s">
        <v>142</v>
      </c>
      <c r="B18" s="39">
        <f aca="true" t="shared" si="3" ref="B18:N18">B17*12/2.5</f>
        <v>351.58279569892477</v>
      </c>
      <c r="C18" s="39">
        <f t="shared" si="3"/>
        <v>269.2124031007752</v>
      </c>
      <c r="D18" s="39">
        <f t="shared" si="3"/>
        <v>394.26666666666665</v>
      </c>
      <c r="E18" s="39">
        <f t="shared" si="3"/>
        <v>495.2577319587629</v>
      </c>
      <c r="F18" s="39">
        <f t="shared" si="3"/>
        <v>238.2271755725191</v>
      </c>
      <c r="G18" s="39">
        <f t="shared" si="3"/>
        <v>221.73152173913044</v>
      </c>
      <c r="H18" s="39">
        <f t="shared" si="3"/>
        <v>549.947435897436</v>
      </c>
      <c r="I18" s="39">
        <f t="shared" si="3"/>
        <v>379.3079178885631</v>
      </c>
      <c r="J18" s="39">
        <f t="shared" si="3"/>
        <v>451.6778409090909</v>
      </c>
      <c r="K18" s="39">
        <f t="shared" si="3"/>
        <v>558.5851015801354</v>
      </c>
      <c r="L18" s="39">
        <f t="shared" si="3"/>
        <v>364.75199999999995</v>
      </c>
      <c r="M18" s="39">
        <f t="shared" si="3"/>
        <v>393.3492</v>
      </c>
      <c r="N18" s="39">
        <f t="shared" si="3"/>
        <v>387.7908964420592</v>
      </c>
    </row>
    <row r="19" spans="1:14" ht="19.5" customHeight="1">
      <c r="A19" s="5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9.5" customHeight="1">
      <c r="A20" s="2" t="s">
        <v>18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70</v>
      </c>
      <c r="G20" s="16" t="s">
        <v>6</v>
      </c>
      <c r="H20" s="16" t="s">
        <v>7</v>
      </c>
      <c r="I20" s="16" t="s">
        <v>8</v>
      </c>
      <c r="J20" s="17" t="s">
        <v>139</v>
      </c>
      <c r="K20" s="16" t="s">
        <v>11</v>
      </c>
      <c r="L20" s="16" t="s">
        <v>13</v>
      </c>
      <c r="M20" s="19" t="s">
        <v>140</v>
      </c>
      <c r="N20" s="3" t="s">
        <v>134</v>
      </c>
    </row>
    <row r="21" spans="1:14" ht="19.5" customHeight="1">
      <c r="A21" s="7" t="s">
        <v>59</v>
      </c>
      <c r="B21" s="5">
        <v>7152</v>
      </c>
      <c r="C21" s="5">
        <v>6707</v>
      </c>
      <c r="D21" s="5">
        <v>3388</v>
      </c>
      <c r="E21" s="5">
        <v>12710</v>
      </c>
      <c r="F21" s="5">
        <v>10597</v>
      </c>
      <c r="G21" s="5">
        <v>18854</v>
      </c>
      <c r="H21" s="5">
        <v>28258</v>
      </c>
      <c r="I21" s="5">
        <v>26502</v>
      </c>
      <c r="J21" s="5">
        <v>52985</v>
      </c>
      <c r="K21" s="5">
        <v>52814</v>
      </c>
      <c r="L21" s="2">
        <v>48271</v>
      </c>
      <c r="M21" s="2">
        <v>80925</v>
      </c>
      <c r="N21" s="4">
        <f aca="true" t="shared" si="4" ref="N21:N32">SUM(B21:M21)</f>
        <v>349163</v>
      </c>
    </row>
    <row r="22" spans="1:14" ht="19.5" customHeight="1">
      <c r="A22" s="7" t="s">
        <v>60</v>
      </c>
      <c r="B22" s="2">
        <v>4117</v>
      </c>
      <c r="C22" s="2">
        <v>3656</v>
      </c>
      <c r="D22" s="2">
        <v>2256</v>
      </c>
      <c r="E22" s="2">
        <v>12180</v>
      </c>
      <c r="F22" s="2">
        <v>11160</v>
      </c>
      <c r="G22" s="2">
        <v>11688</v>
      </c>
      <c r="H22" s="2">
        <v>22556</v>
      </c>
      <c r="I22" s="2">
        <v>16404</v>
      </c>
      <c r="J22" s="2">
        <v>39857</v>
      </c>
      <c r="K22" s="2">
        <v>32808</v>
      </c>
      <c r="L22" s="2">
        <v>35884</v>
      </c>
      <c r="M22" s="2">
        <v>51263</v>
      </c>
      <c r="N22" s="4">
        <f t="shared" si="4"/>
        <v>243829</v>
      </c>
    </row>
    <row r="23" spans="1:14" ht="19.5" customHeight="1">
      <c r="A23" s="7" t="s">
        <v>61</v>
      </c>
      <c r="B23" s="2">
        <v>6819</v>
      </c>
      <c r="C23" s="2">
        <v>6305</v>
      </c>
      <c r="D23" s="2">
        <v>4129</v>
      </c>
      <c r="E23" s="2">
        <v>20499</v>
      </c>
      <c r="F23" s="2">
        <v>20412</v>
      </c>
      <c r="G23" s="2">
        <v>18307</v>
      </c>
      <c r="H23" s="2">
        <v>38486</v>
      </c>
      <c r="I23" s="2">
        <v>25544</v>
      </c>
      <c r="J23" s="2">
        <v>72270</v>
      </c>
      <c r="K23" s="2">
        <v>48427</v>
      </c>
      <c r="L23" s="2">
        <v>66521</v>
      </c>
      <c r="M23" s="2">
        <v>87807</v>
      </c>
      <c r="N23" s="4">
        <f t="shared" si="4"/>
        <v>415526</v>
      </c>
    </row>
    <row r="24" spans="1:14" ht="19.5" customHeight="1">
      <c r="A24" s="7" t="s">
        <v>62</v>
      </c>
      <c r="B24" s="2">
        <v>6156</v>
      </c>
      <c r="C24" s="2">
        <v>5905</v>
      </c>
      <c r="D24" s="2">
        <v>3711</v>
      </c>
      <c r="E24" s="2">
        <v>23268</v>
      </c>
      <c r="F24" s="2">
        <v>23441</v>
      </c>
      <c r="G24" s="2">
        <v>16959</v>
      </c>
      <c r="H24" s="2">
        <v>39978</v>
      </c>
      <c r="I24" s="2">
        <v>22612</v>
      </c>
      <c r="J24" s="2">
        <v>75011</v>
      </c>
      <c r="K24" s="2">
        <v>41832</v>
      </c>
      <c r="L24" s="2">
        <v>65009</v>
      </c>
      <c r="M24" s="2">
        <v>87621</v>
      </c>
      <c r="N24" s="4">
        <f t="shared" si="4"/>
        <v>411503</v>
      </c>
    </row>
    <row r="25" spans="1:14" ht="19.5" customHeight="1">
      <c r="A25" s="7" t="s">
        <v>63</v>
      </c>
      <c r="B25" s="2">
        <v>7277</v>
      </c>
      <c r="C25" s="2">
        <v>6572</v>
      </c>
      <c r="D25" s="2">
        <v>3916</v>
      </c>
      <c r="E25" s="2">
        <v>27237</v>
      </c>
      <c r="F25" s="2">
        <v>27052</v>
      </c>
      <c r="G25" s="2">
        <v>19354</v>
      </c>
      <c r="H25" s="2">
        <v>44971</v>
      </c>
      <c r="I25" s="2">
        <v>25370</v>
      </c>
      <c r="J25" s="2">
        <v>84537</v>
      </c>
      <c r="K25" s="2">
        <v>45123</v>
      </c>
      <c r="L25" s="2">
        <v>73393</v>
      </c>
      <c r="M25" s="2">
        <v>101934</v>
      </c>
      <c r="N25" s="4">
        <f t="shared" si="4"/>
        <v>466736</v>
      </c>
    </row>
    <row r="26" spans="1:14" ht="19.5" customHeight="1">
      <c r="A26" s="7" t="s">
        <v>64</v>
      </c>
      <c r="B26" s="2">
        <v>7676</v>
      </c>
      <c r="C26" s="2">
        <v>6649</v>
      </c>
      <c r="D26" s="2">
        <v>3706</v>
      </c>
      <c r="E26" s="2">
        <v>15086</v>
      </c>
      <c r="F26" s="2">
        <v>18061</v>
      </c>
      <c r="G26" s="2">
        <v>17704</v>
      </c>
      <c r="H26" s="2">
        <v>39703</v>
      </c>
      <c r="I26" s="2">
        <v>25113</v>
      </c>
      <c r="J26" s="2">
        <v>66385</v>
      </c>
      <c r="K26" s="2">
        <v>45673</v>
      </c>
      <c r="L26" s="2">
        <v>58858</v>
      </c>
      <c r="M26" s="2">
        <v>88286</v>
      </c>
      <c r="N26" s="4">
        <f t="shared" si="4"/>
        <v>392900</v>
      </c>
    </row>
    <row r="27" spans="1:14" ht="19.5" customHeight="1">
      <c r="A27" s="7" t="s">
        <v>65</v>
      </c>
      <c r="B27" s="2">
        <v>8582</v>
      </c>
      <c r="C27" s="2">
        <v>8191</v>
      </c>
      <c r="D27" s="2">
        <v>3968</v>
      </c>
      <c r="E27" s="2">
        <v>1545</v>
      </c>
      <c r="F27" s="2">
        <v>5496</v>
      </c>
      <c r="G27" s="2">
        <v>20294</v>
      </c>
      <c r="H27" s="2">
        <v>35383</v>
      </c>
      <c r="I27" s="2">
        <v>28274</v>
      </c>
      <c r="J27" s="2">
        <v>36900</v>
      </c>
      <c r="K27" s="2">
        <v>47712</v>
      </c>
      <c r="L27" s="2">
        <v>30294</v>
      </c>
      <c r="M27" s="2">
        <v>77627</v>
      </c>
      <c r="N27" s="4">
        <f t="shared" si="4"/>
        <v>304266</v>
      </c>
    </row>
    <row r="28" spans="1:14" ht="19.5" customHeight="1">
      <c r="A28" s="7" t="s">
        <v>66</v>
      </c>
      <c r="B28" s="2">
        <v>8600</v>
      </c>
      <c r="C28" s="2">
        <v>8341</v>
      </c>
      <c r="D28" s="2">
        <v>3464</v>
      </c>
      <c r="E28" s="2">
        <v>3266</v>
      </c>
      <c r="F28" s="2">
        <v>6208</v>
      </c>
      <c r="G28" s="2">
        <v>20687</v>
      </c>
      <c r="H28" s="2">
        <v>36497</v>
      </c>
      <c r="I28" s="2">
        <v>29035</v>
      </c>
      <c r="J28" s="2">
        <v>47971</v>
      </c>
      <c r="K28" s="2">
        <v>49540</v>
      </c>
      <c r="L28" s="2">
        <v>32664</v>
      </c>
      <c r="M28" s="2">
        <v>78938</v>
      </c>
      <c r="N28" s="4">
        <f t="shared" si="4"/>
        <v>325211</v>
      </c>
    </row>
    <row r="29" spans="1:14" ht="19.5" customHeight="1">
      <c r="A29" s="7" t="s">
        <v>67</v>
      </c>
      <c r="B29" s="2">
        <v>8290</v>
      </c>
      <c r="C29" s="2">
        <v>7965</v>
      </c>
      <c r="D29" s="2">
        <v>3780</v>
      </c>
      <c r="E29" s="2">
        <v>24112</v>
      </c>
      <c r="F29" s="2">
        <v>21616</v>
      </c>
      <c r="G29" s="2">
        <v>21989</v>
      </c>
      <c r="H29" s="2">
        <v>46910</v>
      </c>
      <c r="I29" s="2">
        <v>28645</v>
      </c>
      <c r="J29" s="2">
        <v>74019</v>
      </c>
      <c r="K29" s="2">
        <v>52445</v>
      </c>
      <c r="L29" s="2">
        <v>82142</v>
      </c>
      <c r="M29" s="2">
        <v>105837</v>
      </c>
      <c r="N29" s="4">
        <f t="shared" si="4"/>
        <v>477750</v>
      </c>
    </row>
    <row r="30" spans="1:14" ht="19.5" customHeight="1">
      <c r="A30" s="7" t="s">
        <v>80</v>
      </c>
      <c r="B30" s="2">
        <v>6532</v>
      </c>
      <c r="C30" s="2">
        <v>6439</v>
      </c>
      <c r="D30" s="2">
        <v>3412</v>
      </c>
      <c r="E30" s="2">
        <v>22336</v>
      </c>
      <c r="F30" s="2">
        <v>23937</v>
      </c>
      <c r="G30" s="2">
        <v>20725</v>
      </c>
      <c r="H30" s="2">
        <v>45055</v>
      </c>
      <c r="I30" s="2">
        <v>26282</v>
      </c>
      <c r="J30" s="2">
        <v>72979</v>
      </c>
      <c r="K30" s="2">
        <v>48434</v>
      </c>
      <c r="L30" s="2">
        <v>84477</v>
      </c>
      <c r="M30" s="2">
        <v>98557</v>
      </c>
      <c r="N30" s="4">
        <f t="shared" si="4"/>
        <v>459165</v>
      </c>
    </row>
    <row r="31" spans="1:14" ht="19.5" customHeight="1">
      <c r="A31" s="7" t="s">
        <v>81</v>
      </c>
      <c r="B31" s="2">
        <v>6276</v>
      </c>
      <c r="C31" s="2">
        <v>6097</v>
      </c>
      <c r="D31" s="2">
        <v>3357</v>
      </c>
      <c r="E31" s="2">
        <v>20817</v>
      </c>
      <c r="F31" s="2">
        <v>23751</v>
      </c>
      <c r="G31" s="2">
        <v>19900</v>
      </c>
      <c r="H31" s="2">
        <v>42419</v>
      </c>
      <c r="I31" s="2">
        <v>26184</v>
      </c>
      <c r="J31" s="2">
        <v>69218</v>
      </c>
      <c r="K31" s="2">
        <v>46477</v>
      </c>
      <c r="L31" s="2">
        <v>68734</v>
      </c>
      <c r="M31" s="2">
        <v>94918</v>
      </c>
      <c r="N31" s="4">
        <f t="shared" si="4"/>
        <v>428148</v>
      </c>
    </row>
    <row r="32" spans="1:14" ht="19.5" customHeight="1">
      <c r="A32" s="7" t="s">
        <v>82</v>
      </c>
      <c r="B32" s="2">
        <v>8215</v>
      </c>
      <c r="C32" s="2">
        <v>7486</v>
      </c>
      <c r="D32" s="2">
        <v>5055</v>
      </c>
      <c r="E32" s="2">
        <v>23510</v>
      </c>
      <c r="F32" s="2">
        <v>26249</v>
      </c>
      <c r="G32" s="2">
        <v>23801</v>
      </c>
      <c r="H32" s="2">
        <v>47298</v>
      </c>
      <c r="I32" s="2">
        <v>28696</v>
      </c>
      <c r="J32" s="2">
        <v>75465</v>
      </c>
      <c r="K32" s="2">
        <v>55704</v>
      </c>
      <c r="L32" s="2">
        <v>82291</v>
      </c>
      <c r="M32" s="2">
        <v>113941</v>
      </c>
      <c r="N32" s="4">
        <f t="shared" si="4"/>
        <v>497711</v>
      </c>
    </row>
    <row r="33" spans="1:14" s="40" customFormat="1" ht="19.5" customHeight="1">
      <c r="A33" s="51" t="s">
        <v>74</v>
      </c>
      <c r="B33" s="51">
        <f aca="true" t="shared" si="5" ref="B33:N33">SUM(B21:B32)</f>
        <v>85692</v>
      </c>
      <c r="C33" s="51">
        <f t="shared" si="5"/>
        <v>80313</v>
      </c>
      <c r="D33" s="51">
        <f t="shared" si="5"/>
        <v>44142</v>
      </c>
      <c r="E33" s="51">
        <f t="shared" si="5"/>
        <v>206566</v>
      </c>
      <c r="F33" s="51">
        <f t="shared" si="5"/>
        <v>217980</v>
      </c>
      <c r="G33" s="51">
        <f t="shared" si="5"/>
        <v>230262</v>
      </c>
      <c r="H33" s="51">
        <f t="shared" si="5"/>
        <v>467514</v>
      </c>
      <c r="I33" s="51">
        <f t="shared" si="5"/>
        <v>308661</v>
      </c>
      <c r="J33" s="51">
        <f t="shared" si="5"/>
        <v>767597</v>
      </c>
      <c r="K33" s="51">
        <f t="shared" si="5"/>
        <v>566989</v>
      </c>
      <c r="L33" s="51">
        <f t="shared" si="5"/>
        <v>728538</v>
      </c>
      <c r="M33" s="51">
        <f t="shared" si="5"/>
        <v>1067654</v>
      </c>
      <c r="N33" s="51">
        <f t="shared" si="5"/>
        <v>4771908</v>
      </c>
    </row>
    <row r="34" spans="1:14" ht="19.5" customHeight="1">
      <c r="A34" s="18" t="s">
        <v>71</v>
      </c>
      <c r="B34" s="39">
        <f aca="true" t="shared" si="6" ref="B34:N34">B33/12</f>
        <v>7141</v>
      </c>
      <c r="C34" s="39">
        <f t="shared" si="6"/>
        <v>6692.75</v>
      </c>
      <c r="D34" s="39">
        <f t="shared" si="6"/>
        <v>3678.5</v>
      </c>
      <c r="E34" s="39">
        <f t="shared" si="6"/>
        <v>17213.833333333332</v>
      </c>
      <c r="F34" s="39">
        <f t="shared" si="6"/>
        <v>18165</v>
      </c>
      <c r="G34" s="39">
        <f t="shared" si="6"/>
        <v>19188.5</v>
      </c>
      <c r="H34" s="39">
        <f t="shared" si="6"/>
        <v>38959.5</v>
      </c>
      <c r="I34" s="39">
        <f t="shared" si="6"/>
        <v>25721.75</v>
      </c>
      <c r="J34" s="39">
        <f t="shared" si="6"/>
        <v>63966.416666666664</v>
      </c>
      <c r="K34" s="39">
        <f t="shared" si="6"/>
        <v>47249.083333333336</v>
      </c>
      <c r="L34" s="39">
        <f t="shared" si="6"/>
        <v>60711.5</v>
      </c>
      <c r="M34" s="39">
        <f t="shared" si="6"/>
        <v>88971.16666666667</v>
      </c>
      <c r="N34" s="39">
        <f t="shared" si="6"/>
        <v>397659</v>
      </c>
    </row>
    <row r="35" spans="1:14" ht="19.5" customHeight="1">
      <c r="A35" s="46" t="s">
        <v>135</v>
      </c>
      <c r="B35" s="39">
        <f>B34/93</f>
        <v>76.78494623655914</v>
      </c>
      <c r="C35" s="39">
        <f>C34/129</f>
        <v>51.88178294573643</v>
      </c>
      <c r="D35" s="39">
        <f>D34/42</f>
        <v>87.58333333333333</v>
      </c>
      <c r="E35" s="39">
        <f>E34/194</f>
        <v>88.73109965635739</v>
      </c>
      <c r="F35" s="39">
        <f>F34/(296+359)</f>
        <v>27.732824427480917</v>
      </c>
      <c r="G35" s="39">
        <f>G34/368</f>
        <v>52.14266304347826</v>
      </c>
      <c r="H35" s="39">
        <f>H34/312</f>
        <v>124.8701923076923</v>
      </c>
      <c r="I35" s="39">
        <f>I34/(99+120+122)</f>
        <v>75.43035190615836</v>
      </c>
      <c r="J35" s="39">
        <f>J34/(127+295+282)</f>
        <v>90.86138731060606</v>
      </c>
      <c r="K35" s="39">
        <f>K34/(363+80)</f>
        <v>106.65707298720844</v>
      </c>
      <c r="L35" s="39">
        <f>L34/(48+32+48+176+270+176)</f>
        <v>80.94866666666667</v>
      </c>
      <c r="M35" s="39">
        <f>M34/(328+160+192+320)</f>
        <v>88.97116666666668</v>
      </c>
      <c r="N35" s="42">
        <f>N34/5031</f>
        <v>79.0417412045319</v>
      </c>
    </row>
    <row r="36" spans="1:14" ht="19.5" customHeight="1">
      <c r="A36" s="47" t="s">
        <v>142</v>
      </c>
      <c r="B36" s="39">
        <f aca="true" t="shared" si="7" ref="B36:N36">B35*12/2.5</f>
        <v>368.56774193548387</v>
      </c>
      <c r="C36" s="39">
        <f t="shared" si="7"/>
        <v>249.03255813953487</v>
      </c>
      <c r="D36" s="39">
        <f t="shared" si="7"/>
        <v>420.4</v>
      </c>
      <c r="E36" s="39">
        <f t="shared" si="7"/>
        <v>425.9092783505154</v>
      </c>
      <c r="F36" s="39">
        <f t="shared" si="7"/>
        <v>133.1175572519084</v>
      </c>
      <c r="G36" s="39">
        <f t="shared" si="7"/>
        <v>250.28478260869565</v>
      </c>
      <c r="H36" s="39">
        <f t="shared" si="7"/>
        <v>599.376923076923</v>
      </c>
      <c r="I36" s="39">
        <f t="shared" si="7"/>
        <v>362.06568914956017</v>
      </c>
      <c r="J36" s="39">
        <f t="shared" si="7"/>
        <v>436.1346590909091</v>
      </c>
      <c r="K36" s="39">
        <f t="shared" si="7"/>
        <v>511.9539503386005</v>
      </c>
      <c r="L36" s="39">
        <f t="shared" si="7"/>
        <v>388.5536</v>
      </c>
      <c r="M36" s="39">
        <f t="shared" si="7"/>
        <v>427.0616</v>
      </c>
      <c r="N36" s="39">
        <f t="shared" si="7"/>
        <v>379.40035778175314</v>
      </c>
    </row>
    <row r="37" spans="1:14" s="40" customFormat="1" ht="19.5" customHeight="1">
      <c r="A37" s="5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s="40" customFormat="1" ht="19.5" customHeight="1">
      <c r="A38" s="5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s="40" customFormat="1" ht="19.5" customHeight="1">
      <c r="A39" s="5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s="40" customFormat="1" ht="19.5" customHeight="1">
      <c r="A40" s="5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s="40" customFormat="1" ht="19.5" customHeight="1">
      <c r="A41" s="5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9.5" customHeight="1">
      <c r="A42" s="62" t="s">
        <v>18</v>
      </c>
      <c r="B42" s="63" t="s">
        <v>0</v>
      </c>
      <c r="C42" s="63" t="s">
        <v>1</v>
      </c>
      <c r="D42" s="63" t="s">
        <v>2</v>
      </c>
      <c r="E42" s="63" t="s">
        <v>3</v>
      </c>
      <c r="F42" s="63" t="s">
        <v>70</v>
      </c>
      <c r="G42" s="63" t="s">
        <v>6</v>
      </c>
      <c r="H42" s="63" t="s">
        <v>7</v>
      </c>
      <c r="I42" s="63" t="s">
        <v>8</v>
      </c>
      <c r="J42" s="64" t="s">
        <v>139</v>
      </c>
      <c r="K42" s="63" t="s">
        <v>11</v>
      </c>
      <c r="L42" s="63" t="s">
        <v>13</v>
      </c>
      <c r="M42" s="65" t="s">
        <v>140</v>
      </c>
      <c r="N42" s="66" t="s">
        <v>134</v>
      </c>
    </row>
    <row r="43" spans="1:14" ht="19.5" customHeight="1">
      <c r="A43" s="13" t="s">
        <v>83</v>
      </c>
      <c r="B43" s="2">
        <v>5111</v>
      </c>
      <c r="C43" s="2">
        <v>3739</v>
      </c>
      <c r="D43" s="2">
        <v>1908</v>
      </c>
      <c r="E43" s="2">
        <v>9504</v>
      </c>
      <c r="F43" s="2">
        <v>8086</v>
      </c>
      <c r="G43" s="2">
        <v>11520</v>
      </c>
      <c r="H43" s="2">
        <v>16224</v>
      </c>
      <c r="I43" s="2">
        <v>15200</v>
      </c>
      <c r="J43" s="2">
        <v>31722</v>
      </c>
      <c r="K43" s="2">
        <v>30600</v>
      </c>
      <c r="L43" s="2">
        <v>36000</v>
      </c>
      <c r="M43" s="2">
        <v>57000</v>
      </c>
      <c r="N43" s="4">
        <f aca="true" t="shared" si="8" ref="N43:N54">SUM(B43:M43)</f>
        <v>226614</v>
      </c>
    </row>
    <row r="44" spans="1:14" ht="19.5" customHeight="1">
      <c r="A44" s="13" t="s">
        <v>84</v>
      </c>
      <c r="B44" s="2">
        <v>6074</v>
      </c>
      <c r="C44" s="2">
        <v>5129</v>
      </c>
      <c r="D44" s="2">
        <v>4285</v>
      </c>
      <c r="E44" s="2">
        <v>11238</v>
      </c>
      <c r="F44" s="2">
        <v>15419</v>
      </c>
      <c r="G44" s="2">
        <v>16305</v>
      </c>
      <c r="H44" s="2">
        <v>26970</v>
      </c>
      <c r="I44" s="2">
        <v>21300</v>
      </c>
      <c r="J44" s="2">
        <v>44542</v>
      </c>
      <c r="K44" s="2">
        <v>40764</v>
      </c>
      <c r="L44" s="2">
        <v>46823</v>
      </c>
      <c r="M44" s="2">
        <v>67480</v>
      </c>
      <c r="N44" s="4">
        <f t="shared" si="8"/>
        <v>306329</v>
      </c>
    </row>
    <row r="45" spans="1:14" ht="19.5" customHeight="1">
      <c r="A45" s="13" t="s">
        <v>85</v>
      </c>
      <c r="B45" s="2">
        <v>7481</v>
      </c>
      <c r="C45" s="2">
        <v>6850</v>
      </c>
      <c r="D45" s="2">
        <v>5009</v>
      </c>
      <c r="E45" s="2">
        <v>15838</v>
      </c>
      <c r="F45" s="2">
        <v>26853</v>
      </c>
      <c r="G45" s="2">
        <v>20722</v>
      </c>
      <c r="H45" s="2">
        <v>41346</v>
      </c>
      <c r="I45" s="2">
        <v>31248</v>
      </c>
      <c r="J45" s="2">
        <v>68411</v>
      </c>
      <c r="K45" s="2">
        <v>50573</v>
      </c>
      <c r="L45" s="2">
        <v>74009</v>
      </c>
      <c r="M45" s="2">
        <v>100220</v>
      </c>
      <c r="N45" s="4">
        <f t="shared" si="8"/>
        <v>448560</v>
      </c>
    </row>
    <row r="46" spans="1:14" ht="19.5" customHeight="1">
      <c r="A46" s="13" t="s">
        <v>86</v>
      </c>
      <c r="B46" s="2">
        <v>6598</v>
      </c>
      <c r="C46" s="2">
        <v>6095</v>
      </c>
      <c r="D46" s="2">
        <v>3818</v>
      </c>
      <c r="E46" s="2">
        <v>23313</v>
      </c>
      <c r="F46" s="2">
        <v>27503</v>
      </c>
      <c r="G46" s="2">
        <v>18792</v>
      </c>
      <c r="H46" s="2">
        <v>40414</v>
      </c>
      <c r="I46" s="2">
        <v>17687</v>
      </c>
      <c r="J46" s="2">
        <v>67038</v>
      </c>
      <c r="K46" s="2">
        <v>43111</v>
      </c>
      <c r="L46" s="2">
        <v>71852</v>
      </c>
      <c r="M46" s="2">
        <v>87052</v>
      </c>
      <c r="N46" s="4">
        <f t="shared" si="8"/>
        <v>413273</v>
      </c>
    </row>
    <row r="47" spans="1:14" ht="19.5" customHeight="1">
      <c r="A47" s="13" t="s">
        <v>87</v>
      </c>
      <c r="B47" s="2">
        <v>7321</v>
      </c>
      <c r="C47" s="2">
        <v>6669</v>
      </c>
      <c r="D47" s="2">
        <v>4122</v>
      </c>
      <c r="E47" s="2">
        <v>24001</v>
      </c>
      <c r="F47" s="2">
        <v>30388</v>
      </c>
      <c r="G47" s="2">
        <v>20275</v>
      </c>
      <c r="H47" s="2">
        <v>46706</v>
      </c>
      <c r="I47" s="2">
        <v>25242</v>
      </c>
      <c r="J47" s="2">
        <v>79770</v>
      </c>
      <c r="K47" s="2">
        <v>47635</v>
      </c>
      <c r="L47" s="2">
        <v>88551</v>
      </c>
      <c r="M47" s="2">
        <v>100765</v>
      </c>
      <c r="N47" s="4">
        <f t="shared" si="8"/>
        <v>481445</v>
      </c>
    </row>
    <row r="48" spans="1:14" ht="19.5" customHeight="1">
      <c r="A48" s="13" t="s">
        <v>88</v>
      </c>
      <c r="B48" s="2">
        <v>8689</v>
      </c>
      <c r="C48" s="2">
        <v>8238</v>
      </c>
      <c r="D48" s="2">
        <v>4612</v>
      </c>
      <c r="E48" s="2">
        <v>24445</v>
      </c>
      <c r="F48" s="2">
        <v>28634</v>
      </c>
      <c r="G48" s="2">
        <v>23248</v>
      </c>
      <c r="H48" s="2">
        <v>46496</v>
      </c>
      <c r="I48" s="2">
        <v>29923</v>
      </c>
      <c r="J48" s="2">
        <v>81130</v>
      </c>
      <c r="K48" s="2">
        <v>53516</v>
      </c>
      <c r="L48" s="2">
        <v>92071</v>
      </c>
      <c r="M48" s="2">
        <v>67614</v>
      </c>
      <c r="N48" s="4">
        <f t="shared" si="8"/>
        <v>468616</v>
      </c>
    </row>
    <row r="49" spans="1:14" ht="19.5" customHeight="1">
      <c r="A49" s="13" t="s">
        <v>89</v>
      </c>
      <c r="B49" s="2">
        <v>8268</v>
      </c>
      <c r="C49" s="2">
        <v>7488</v>
      </c>
      <c r="D49" s="2">
        <v>3730</v>
      </c>
      <c r="E49" s="2">
        <v>16643</v>
      </c>
      <c r="F49" s="2">
        <v>5909</v>
      </c>
      <c r="G49" s="2">
        <v>20772</v>
      </c>
      <c r="H49" s="2">
        <v>32932</v>
      </c>
      <c r="I49" s="2">
        <v>27021</v>
      </c>
      <c r="J49" s="2">
        <v>47926</v>
      </c>
      <c r="K49" s="2">
        <v>48131</v>
      </c>
      <c r="L49" s="2">
        <v>53831</v>
      </c>
      <c r="M49" s="2">
        <v>107662</v>
      </c>
      <c r="N49" s="4">
        <f t="shared" si="8"/>
        <v>380313</v>
      </c>
    </row>
    <row r="50" spans="1:14" ht="19.5" customHeight="1">
      <c r="A50" s="13" t="s">
        <v>90</v>
      </c>
      <c r="B50" s="2">
        <v>8707</v>
      </c>
      <c r="C50" s="2">
        <v>7475</v>
      </c>
      <c r="D50" s="2">
        <v>4073</v>
      </c>
      <c r="E50" s="2">
        <v>16454</v>
      </c>
      <c r="F50" s="2">
        <v>5007</v>
      </c>
      <c r="G50" s="2">
        <v>19749</v>
      </c>
      <c r="H50" s="2">
        <v>31942</v>
      </c>
      <c r="I50" s="2">
        <v>26476</v>
      </c>
      <c r="J50" s="2">
        <v>43395</v>
      </c>
      <c r="K50" s="2">
        <v>48300</v>
      </c>
      <c r="L50" s="2">
        <v>50983</v>
      </c>
      <c r="M50" s="2">
        <v>69767</v>
      </c>
      <c r="N50" s="4">
        <f t="shared" si="8"/>
        <v>332328</v>
      </c>
    </row>
    <row r="51" spans="1:14" ht="19.5" customHeight="1">
      <c r="A51" s="13" t="s">
        <v>91</v>
      </c>
      <c r="B51" s="2">
        <v>7710</v>
      </c>
      <c r="C51" s="2">
        <v>6625</v>
      </c>
      <c r="D51" s="2">
        <v>4235</v>
      </c>
      <c r="E51" s="2">
        <v>19454</v>
      </c>
      <c r="F51" s="2">
        <v>20418</v>
      </c>
      <c r="G51" s="2">
        <v>21817</v>
      </c>
      <c r="H51" s="2">
        <v>42543</v>
      </c>
      <c r="I51" s="2">
        <v>29291</v>
      </c>
      <c r="J51" s="2">
        <v>60469</v>
      </c>
      <c r="K51" s="2">
        <v>52270</v>
      </c>
      <c r="L51" s="2">
        <v>87117</v>
      </c>
      <c r="M51" s="2">
        <v>94692</v>
      </c>
      <c r="N51" s="4">
        <f t="shared" si="8"/>
        <v>446641</v>
      </c>
    </row>
    <row r="52" spans="1:14" ht="19.5" customHeight="1">
      <c r="A52" s="13" t="s">
        <v>92</v>
      </c>
      <c r="B52" s="2">
        <v>6770</v>
      </c>
      <c r="C52" s="2">
        <v>6203</v>
      </c>
      <c r="D52" s="2">
        <v>4033</v>
      </c>
      <c r="E52" s="2">
        <v>20393</v>
      </c>
      <c r="F52" s="2">
        <v>24231</v>
      </c>
      <c r="G52" s="2">
        <v>20803</v>
      </c>
      <c r="H52" s="2">
        <v>41980</v>
      </c>
      <c r="I52" s="2">
        <v>27270</v>
      </c>
      <c r="J52" s="2">
        <v>66635</v>
      </c>
      <c r="K52" s="2">
        <v>48501</v>
      </c>
      <c r="L52" s="2">
        <v>78887</v>
      </c>
      <c r="M52" s="2">
        <v>96417</v>
      </c>
      <c r="N52" s="4">
        <f t="shared" si="8"/>
        <v>442123</v>
      </c>
    </row>
    <row r="53" spans="1:14" ht="19.5" customHeight="1">
      <c r="A53" s="13" t="s">
        <v>93</v>
      </c>
      <c r="B53" s="2">
        <v>6422</v>
      </c>
      <c r="C53" s="2">
        <v>5893</v>
      </c>
      <c r="D53" s="2">
        <v>4057</v>
      </c>
      <c r="E53" s="2">
        <v>22968</v>
      </c>
      <c r="F53" s="2">
        <v>28573</v>
      </c>
      <c r="G53" s="2">
        <v>22754</v>
      </c>
      <c r="H53" s="2">
        <v>47385</v>
      </c>
      <c r="I53" s="2">
        <v>30495</v>
      </c>
      <c r="J53" s="2">
        <v>77209</v>
      </c>
      <c r="K53" s="2">
        <v>53366</v>
      </c>
      <c r="L53" s="2">
        <v>93831</v>
      </c>
      <c r="M53" s="2">
        <v>93831</v>
      </c>
      <c r="N53" s="4">
        <f t="shared" si="8"/>
        <v>486784</v>
      </c>
    </row>
    <row r="54" spans="1:14" ht="19.5" customHeight="1">
      <c r="A54" s="13" t="s">
        <v>94</v>
      </c>
      <c r="B54" s="2">
        <v>8528</v>
      </c>
      <c r="C54" s="2">
        <v>7528</v>
      </c>
      <c r="D54" s="2">
        <v>4082</v>
      </c>
      <c r="E54" s="2">
        <v>17754</v>
      </c>
      <c r="F54" s="2">
        <v>23034</v>
      </c>
      <c r="G54" s="2">
        <v>18537</v>
      </c>
      <c r="H54" s="2">
        <v>36566</v>
      </c>
      <c r="I54" s="2">
        <v>25393</v>
      </c>
      <c r="J54" s="2">
        <v>60546</v>
      </c>
      <c r="K54" s="2">
        <v>45708</v>
      </c>
      <c r="L54" s="2">
        <v>66658</v>
      </c>
      <c r="M54" s="2">
        <v>115857</v>
      </c>
      <c r="N54" s="4">
        <f t="shared" si="8"/>
        <v>430191</v>
      </c>
    </row>
    <row r="55" spans="1:14" s="40" customFormat="1" ht="19.5" customHeight="1">
      <c r="A55" s="52" t="s">
        <v>74</v>
      </c>
      <c r="B55" s="53">
        <f aca="true" t="shared" si="9" ref="B55:N55">SUM(B43:B54)</f>
        <v>87679</v>
      </c>
      <c r="C55" s="53">
        <f t="shared" si="9"/>
        <v>77932</v>
      </c>
      <c r="D55" s="53">
        <f t="shared" si="9"/>
        <v>47964</v>
      </c>
      <c r="E55" s="53">
        <f t="shared" si="9"/>
        <v>222005</v>
      </c>
      <c r="F55" s="53">
        <f t="shared" si="9"/>
        <v>244055</v>
      </c>
      <c r="G55" s="53">
        <f t="shared" si="9"/>
        <v>235294</v>
      </c>
      <c r="H55" s="53">
        <f t="shared" si="9"/>
        <v>451504</v>
      </c>
      <c r="I55" s="53">
        <f t="shared" si="9"/>
        <v>306546</v>
      </c>
      <c r="J55" s="53">
        <f t="shared" si="9"/>
        <v>728793</v>
      </c>
      <c r="K55" s="53">
        <f t="shared" si="9"/>
        <v>562475</v>
      </c>
      <c r="L55" s="53">
        <f t="shared" si="9"/>
        <v>840613</v>
      </c>
      <c r="M55" s="53">
        <f t="shared" si="9"/>
        <v>1058357</v>
      </c>
      <c r="N55" s="53">
        <f t="shared" si="9"/>
        <v>4863217</v>
      </c>
    </row>
    <row r="56" spans="1:14" ht="19.5" customHeight="1">
      <c r="A56" s="18" t="s">
        <v>71</v>
      </c>
      <c r="B56" s="39">
        <f aca="true" t="shared" si="10" ref="B56:M56">B55/12</f>
        <v>7306.583333333333</v>
      </c>
      <c r="C56" s="39">
        <f t="shared" si="10"/>
        <v>6494.333333333333</v>
      </c>
      <c r="D56" s="39">
        <f t="shared" si="10"/>
        <v>3997</v>
      </c>
      <c r="E56" s="39">
        <f t="shared" si="10"/>
        <v>18500.416666666668</v>
      </c>
      <c r="F56" s="39">
        <f t="shared" si="10"/>
        <v>20337.916666666668</v>
      </c>
      <c r="G56" s="39">
        <f t="shared" si="10"/>
        <v>19607.833333333332</v>
      </c>
      <c r="H56" s="39">
        <f t="shared" si="10"/>
        <v>37625.333333333336</v>
      </c>
      <c r="I56" s="39">
        <f t="shared" si="10"/>
        <v>25545.5</v>
      </c>
      <c r="J56" s="39">
        <f t="shared" si="10"/>
        <v>60732.75</v>
      </c>
      <c r="K56" s="39">
        <f t="shared" si="10"/>
        <v>46872.916666666664</v>
      </c>
      <c r="L56" s="39">
        <f t="shared" si="10"/>
        <v>70051.08333333333</v>
      </c>
      <c r="M56" s="39">
        <f t="shared" si="10"/>
        <v>88196.41666666667</v>
      </c>
      <c r="N56" s="39">
        <f>N55/12</f>
        <v>405268.0833333333</v>
      </c>
    </row>
    <row r="57" spans="1:14" ht="19.5" customHeight="1">
      <c r="A57" s="46" t="s">
        <v>135</v>
      </c>
      <c r="B57" s="39">
        <f>B56/93</f>
        <v>78.56541218637993</v>
      </c>
      <c r="C57" s="39">
        <f>C56/129</f>
        <v>50.343669250645995</v>
      </c>
      <c r="D57" s="39">
        <f>D56/42</f>
        <v>95.16666666666667</v>
      </c>
      <c r="E57" s="39">
        <f>E56/194</f>
        <v>95.36297250859107</v>
      </c>
      <c r="F57" s="39">
        <f>F56/(296+359)</f>
        <v>31.05025445292621</v>
      </c>
      <c r="G57" s="39">
        <f>G56/368</f>
        <v>53.282155797101446</v>
      </c>
      <c r="H57" s="39">
        <f>H56/312</f>
        <v>120.5940170940171</v>
      </c>
      <c r="I57" s="39">
        <f>I56/(99+120+122)</f>
        <v>74.91348973607037</v>
      </c>
      <c r="J57" s="39">
        <f>J56/(127+295+282)</f>
        <v>86.26811079545455</v>
      </c>
      <c r="K57" s="39">
        <f>K56/(363+80)</f>
        <v>105.80793829947328</v>
      </c>
      <c r="L57" s="39">
        <f>L56/(48+32+48+176+270+176)</f>
        <v>93.40144444444444</v>
      </c>
      <c r="M57" s="39">
        <f>M56/(328+160+192+320)</f>
        <v>88.19641666666668</v>
      </c>
      <c r="N57" s="42">
        <f>N56/5031</f>
        <v>80.55418074604121</v>
      </c>
    </row>
    <row r="58" spans="1:14" ht="15.75">
      <c r="A58" s="47" t="s">
        <v>142</v>
      </c>
      <c r="B58" s="39">
        <f aca="true" t="shared" si="11" ref="B58:N58">B57*12/2.5</f>
        <v>377.11397849462367</v>
      </c>
      <c r="C58" s="39">
        <f t="shared" si="11"/>
        <v>241.64961240310078</v>
      </c>
      <c r="D58" s="39">
        <f t="shared" si="11"/>
        <v>456.8</v>
      </c>
      <c r="E58" s="39">
        <f t="shared" si="11"/>
        <v>457.7422680412372</v>
      </c>
      <c r="F58" s="39">
        <f t="shared" si="11"/>
        <v>149.04122137404582</v>
      </c>
      <c r="G58" s="39">
        <f t="shared" si="11"/>
        <v>255.75434782608696</v>
      </c>
      <c r="H58" s="39">
        <f t="shared" si="11"/>
        <v>578.8512820512822</v>
      </c>
      <c r="I58" s="39">
        <f t="shared" si="11"/>
        <v>359.5847507331378</v>
      </c>
      <c r="J58" s="39">
        <f t="shared" si="11"/>
        <v>414.0869318181818</v>
      </c>
      <c r="K58" s="39">
        <f t="shared" si="11"/>
        <v>507.8781038374717</v>
      </c>
      <c r="L58" s="39">
        <f t="shared" si="11"/>
        <v>448.3269333333333</v>
      </c>
      <c r="M58" s="39">
        <f t="shared" si="11"/>
        <v>423.34280000000007</v>
      </c>
      <c r="N58" s="39">
        <f t="shared" si="11"/>
        <v>386.66006758099786</v>
      </c>
    </row>
    <row r="59" spans="2:14" s="40" customFormat="1" ht="15.7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2:14" s="40" customFormat="1" ht="15.7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9.5" customHeight="1">
      <c r="A61" s="2" t="s">
        <v>18</v>
      </c>
      <c r="B61" s="16" t="s">
        <v>0</v>
      </c>
      <c r="C61" s="16" t="s">
        <v>1</v>
      </c>
      <c r="D61" s="16" t="s">
        <v>2</v>
      </c>
      <c r="E61" s="16" t="s">
        <v>3</v>
      </c>
      <c r="F61" s="16" t="s">
        <v>70</v>
      </c>
      <c r="G61" s="16" t="s">
        <v>6</v>
      </c>
      <c r="H61" s="16" t="s">
        <v>7</v>
      </c>
      <c r="I61" s="16" t="s">
        <v>8</v>
      </c>
      <c r="J61" s="17" t="s">
        <v>139</v>
      </c>
      <c r="K61" s="16" t="s">
        <v>11</v>
      </c>
      <c r="L61" s="16" t="s">
        <v>13</v>
      </c>
      <c r="M61" s="19" t="s">
        <v>140</v>
      </c>
      <c r="N61" s="3" t="s">
        <v>134</v>
      </c>
    </row>
    <row r="62" spans="1:14" ht="15.75">
      <c r="A62" s="13" t="s">
        <v>122</v>
      </c>
      <c r="B62" s="2">
        <v>7109</v>
      </c>
      <c r="C62" s="2">
        <v>6275</v>
      </c>
      <c r="D62" s="2">
        <v>3403</v>
      </c>
      <c r="E62" s="2">
        <v>14800</v>
      </c>
      <c r="F62" s="2">
        <v>19201</v>
      </c>
      <c r="G62" s="2">
        <v>15453</v>
      </c>
      <c r="H62" s="2">
        <v>30482</v>
      </c>
      <c r="I62" s="2">
        <v>21168</v>
      </c>
      <c r="J62" s="2">
        <v>50472</v>
      </c>
      <c r="K62" s="2">
        <v>38103</v>
      </c>
      <c r="L62" s="2">
        <v>55567</v>
      </c>
      <c r="M62" s="2">
        <v>96580</v>
      </c>
      <c r="N62" s="4">
        <f aca="true" t="shared" si="12" ref="N62:N73">SUM(B62:M62)</f>
        <v>358613</v>
      </c>
    </row>
    <row r="63" spans="1:14" ht="15.75">
      <c r="A63" s="13" t="s">
        <v>123</v>
      </c>
      <c r="B63" s="2">
        <v>5304</v>
      </c>
      <c r="C63" s="2">
        <v>4534</v>
      </c>
      <c r="D63" s="2">
        <v>3071</v>
      </c>
      <c r="E63" s="2">
        <v>10616</v>
      </c>
      <c r="F63" s="2">
        <v>13722</v>
      </c>
      <c r="G63" s="2">
        <v>14560</v>
      </c>
      <c r="H63" s="2">
        <v>23069</v>
      </c>
      <c r="I63" s="2">
        <v>20800</v>
      </c>
      <c r="J63" s="2">
        <v>38715</v>
      </c>
      <c r="K63" s="2">
        <v>39236</v>
      </c>
      <c r="L63" s="2">
        <v>44909</v>
      </c>
      <c r="M63" s="2">
        <v>59091</v>
      </c>
      <c r="N63" s="4">
        <f t="shared" si="12"/>
        <v>277627</v>
      </c>
    </row>
    <row r="64" spans="1:14" ht="15.75">
      <c r="A64" s="13" t="s">
        <v>124</v>
      </c>
      <c r="B64" s="2">
        <v>9257</v>
      </c>
      <c r="C64" s="2">
        <v>8141</v>
      </c>
      <c r="D64" s="2">
        <v>5295</v>
      </c>
      <c r="E64" s="2">
        <v>20331</v>
      </c>
      <c r="F64" s="2">
        <v>28354</v>
      </c>
      <c r="G64" s="2">
        <v>22875</v>
      </c>
      <c r="H64" s="2">
        <v>42270</v>
      </c>
      <c r="I64" s="2">
        <v>34811</v>
      </c>
      <c r="J64" s="2">
        <v>74751</v>
      </c>
      <c r="K64" s="2">
        <v>64027</v>
      </c>
      <c r="L64" s="2">
        <v>80810</v>
      </c>
      <c r="M64" s="2">
        <v>113445</v>
      </c>
      <c r="N64" s="4">
        <f t="shared" si="12"/>
        <v>504367</v>
      </c>
    </row>
    <row r="65" spans="1:14" ht="15.75">
      <c r="A65" s="13" t="s">
        <v>125</v>
      </c>
      <c r="B65" s="2">
        <v>6113</v>
      </c>
      <c r="C65" s="2">
        <v>6314</v>
      </c>
      <c r="D65" s="2">
        <v>3558</v>
      </c>
      <c r="E65" s="2">
        <v>19924</v>
      </c>
      <c r="F65" s="2">
        <v>26765</v>
      </c>
      <c r="G65" s="2">
        <v>17632</v>
      </c>
      <c r="H65" s="2">
        <v>38892</v>
      </c>
      <c r="I65" s="2">
        <v>24349</v>
      </c>
      <c r="J65" s="2">
        <v>65934</v>
      </c>
      <c r="K65" s="2">
        <v>44711</v>
      </c>
      <c r="L65" s="2">
        <v>85013</v>
      </c>
      <c r="M65" s="2">
        <v>92885</v>
      </c>
      <c r="N65" s="4">
        <f t="shared" si="12"/>
        <v>432090</v>
      </c>
    </row>
    <row r="66" spans="1:14" ht="15.75">
      <c r="A66" s="13" t="s">
        <v>126</v>
      </c>
      <c r="B66" s="2">
        <v>7938</v>
      </c>
      <c r="C66" s="2">
        <v>7491</v>
      </c>
      <c r="D66" s="2">
        <v>4369</v>
      </c>
      <c r="E66" s="2">
        <v>24464</v>
      </c>
      <c r="F66" s="2">
        <v>32554</v>
      </c>
      <c r="G66" s="2">
        <v>21866</v>
      </c>
      <c r="H66" s="2">
        <v>46058</v>
      </c>
      <c r="I66" s="2">
        <v>27914</v>
      </c>
      <c r="J66" s="2">
        <v>75960</v>
      </c>
      <c r="K66" s="2">
        <v>58735</v>
      </c>
      <c r="L66" s="2">
        <v>104677</v>
      </c>
      <c r="M66" s="2">
        <v>109038</v>
      </c>
      <c r="N66" s="4">
        <f t="shared" si="12"/>
        <v>521064</v>
      </c>
    </row>
    <row r="67" spans="1:14" ht="15.75">
      <c r="A67" s="13" t="s">
        <v>127</v>
      </c>
      <c r="B67" s="2">
        <v>9788</v>
      </c>
      <c r="C67" s="2">
        <v>8508</v>
      </c>
      <c r="D67" s="2">
        <v>4926</v>
      </c>
      <c r="E67" s="2">
        <v>26998</v>
      </c>
      <c r="F67" s="2">
        <v>33104</v>
      </c>
      <c r="G67" s="2">
        <v>25301</v>
      </c>
      <c r="H67" s="2">
        <v>51683</v>
      </c>
      <c r="I67" s="2">
        <v>31934</v>
      </c>
      <c r="J67" s="2">
        <v>82125</v>
      </c>
      <c r="K67" s="2">
        <v>66938</v>
      </c>
      <c r="L67" s="2">
        <v>122821</v>
      </c>
      <c r="M67" s="2">
        <v>122821</v>
      </c>
      <c r="N67" s="4">
        <f>SUM(B67:M67)</f>
        <v>586947</v>
      </c>
    </row>
    <row r="68" spans="1:14" ht="15.75">
      <c r="A68" s="13" t="s">
        <v>128</v>
      </c>
      <c r="B68" s="2">
        <v>8460</v>
      </c>
      <c r="C68" s="2">
        <v>6698</v>
      </c>
      <c r="D68" s="2">
        <v>3232</v>
      </c>
      <c r="E68" s="2">
        <v>16769</v>
      </c>
      <c r="F68" s="2">
        <v>6442</v>
      </c>
      <c r="G68" s="2">
        <v>20337</v>
      </c>
      <c r="H68" s="2">
        <v>33805</v>
      </c>
      <c r="I68" s="2">
        <v>28622</v>
      </c>
      <c r="J68" s="2">
        <v>39823</v>
      </c>
      <c r="K68" s="2">
        <v>59881</v>
      </c>
      <c r="L68" s="2">
        <v>56492</v>
      </c>
      <c r="M68" s="2">
        <v>57904</v>
      </c>
      <c r="N68" s="4">
        <f t="shared" si="12"/>
        <v>338465</v>
      </c>
    </row>
    <row r="69" spans="1:14" ht="15.75">
      <c r="A69" s="13" t="s">
        <v>129</v>
      </c>
      <c r="B69" s="2">
        <v>9573</v>
      </c>
      <c r="C69" s="2">
        <v>7721</v>
      </c>
      <c r="D69" s="2">
        <v>3752</v>
      </c>
      <c r="E69" s="2">
        <v>18713</v>
      </c>
      <c r="F69" s="2">
        <v>5270</v>
      </c>
      <c r="G69" s="2">
        <v>22877</v>
      </c>
      <c r="H69" s="2">
        <v>34874</v>
      </c>
      <c r="I69" s="2">
        <v>28808</v>
      </c>
      <c r="J69" s="2">
        <v>40844</v>
      </c>
      <c r="K69" s="2">
        <v>59098</v>
      </c>
      <c r="L69" s="2">
        <v>54015</v>
      </c>
      <c r="M69" s="2">
        <v>63547</v>
      </c>
      <c r="N69" s="4">
        <f t="shared" si="12"/>
        <v>349092</v>
      </c>
    </row>
    <row r="70" spans="1:14" ht="15.75">
      <c r="A70" s="13" t="s">
        <v>130</v>
      </c>
      <c r="B70" s="2">
        <v>8657</v>
      </c>
      <c r="C70" s="2">
        <v>7451</v>
      </c>
      <c r="D70" s="2">
        <v>3750</v>
      </c>
      <c r="E70" s="2">
        <v>23835</v>
      </c>
      <c r="F70" s="2">
        <v>22860</v>
      </c>
      <c r="G70" s="2">
        <v>23839</v>
      </c>
      <c r="H70" s="2">
        <v>44054</v>
      </c>
      <c r="I70" s="2">
        <v>30991</v>
      </c>
      <c r="J70" s="2">
        <v>69814</v>
      </c>
      <c r="K70" s="2">
        <v>59002</v>
      </c>
      <c r="L70" s="2">
        <v>110255</v>
      </c>
      <c r="M70" s="2">
        <v>99826</v>
      </c>
      <c r="N70" s="4">
        <f t="shared" si="12"/>
        <v>504334</v>
      </c>
    </row>
    <row r="71" spans="1:14" ht="15.75">
      <c r="A71" s="13" t="s">
        <v>131</v>
      </c>
      <c r="B71" s="2">
        <v>7277</v>
      </c>
      <c r="C71" s="2">
        <v>6239</v>
      </c>
      <c r="D71" s="2">
        <v>3735</v>
      </c>
      <c r="E71" s="2">
        <v>23231</v>
      </c>
      <c r="F71" s="2">
        <v>24860</v>
      </c>
      <c r="G71" s="2">
        <v>20623</v>
      </c>
      <c r="H71" s="2">
        <v>42686</v>
      </c>
      <c r="I71" s="2">
        <v>28777</v>
      </c>
      <c r="J71" s="2">
        <v>72715</v>
      </c>
      <c r="K71" s="2">
        <v>49160</v>
      </c>
      <c r="L71" s="2">
        <v>74940</v>
      </c>
      <c r="M71" s="2">
        <v>97422</v>
      </c>
      <c r="N71" s="4">
        <f t="shared" si="12"/>
        <v>451665</v>
      </c>
    </row>
    <row r="72" spans="1:14" ht="15.75">
      <c r="A72" s="13" t="s">
        <v>132</v>
      </c>
      <c r="B72" s="2">
        <v>7848</v>
      </c>
      <c r="C72" s="2">
        <v>6347</v>
      </c>
      <c r="D72" s="2">
        <v>4187</v>
      </c>
      <c r="E72" s="2">
        <v>23765</v>
      </c>
      <c r="F72" s="2">
        <v>30241</v>
      </c>
      <c r="G72" s="2">
        <v>21481</v>
      </c>
      <c r="H72" s="2">
        <v>45719</v>
      </c>
      <c r="I72" s="2">
        <v>32707</v>
      </c>
      <c r="J72" s="2">
        <v>80413</v>
      </c>
      <c r="K72" s="2">
        <v>51713</v>
      </c>
      <c r="L72" s="2">
        <v>102762</v>
      </c>
      <c r="M72" s="2">
        <v>120994</v>
      </c>
      <c r="N72" s="4">
        <f t="shared" si="12"/>
        <v>528177</v>
      </c>
    </row>
    <row r="73" spans="1:14" ht="15.75">
      <c r="A73" s="13" t="s">
        <v>133</v>
      </c>
      <c r="B73" s="2">
        <v>8719</v>
      </c>
      <c r="C73" s="2">
        <v>6154</v>
      </c>
      <c r="D73" s="2">
        <v>4051</v>
      </c>
      <c r="E73" s="2">
        <v>20979</v>
      </c>
      <c r="F73" s="2">
        <v>21556</v>
      </c>
      <c r="G73" s="2">
        <v>22180</v>
      </c>
      <c r="H73" s="2">
        <v>39462</v>
      </c>
      <c r="I73" s="2">
        <v>25414</v>
      </c>
      <c r="J73" s="2">
        <v>75446</v>
      </c>
      <c r="K73" s="2">
        <v>56027</v>
      </c>
      <c r="L73" s="2">
        <v>63536</v>
      </c>
      <c r="M73" s="2">
        <v>98192</v>
      </c>
      <c r="N73" s="4">
        <f t="shared" si="12"/>
        <v>441716</v>
      </c>
    </row>
    <row r="74" spans="1:14" s="40" customFormat="1" ht="15.75">
      <c r="A74" s="52" t="s">
        <v>74</v>
      </c>
      <c r="B74" s="53">
        <f aca="true" t="shared" si="13" ref="B74:N74">SUM(B62:B73)</f>
        <v>96043</v>
      </c>
      <c r="C74" s="53">
        <f t="shared" si="13"/>
        <v>81873</v>
      </c>
      <c r="D74" s="53">
        <f t="shared" si="13"/>
        <v>47329</v>
      </c>
      <c r="E74" s="53">
        <f t="shared" si="13"/>
        <v>244425</v>
      </c>
      <c r="F74" s="53">
        <f t="shared" si="13"/>
        <v>264929</v>
      </c>
      <c r="G74" s="53">
        <f t="shared" si="13"/>
        <v>249024</v>
      </c>
      <c r="H74" s="53">
        <f t="shared" si="13"/>
        <v>473054</v>
      </c>
      <c r="I74" s="53">
        <f t="shared" si="13"/>
        <v>336295</v>
      </c>
      <c r="J74" s="53">
        <f t="shared" si="13"/>
        <v>767012</v>
      </c>
      <c r="K74" s="53">
        <f t="shared" si="13"/>
        <v>646631</v>
      </c>
      <c r="L74" s="53">
        <f t="shared" si="13"/>
        <v>955797</v>
      </c>
      <c r="M74" s="53">
        <f t="shared" si="13"/>
        <v>1131745</v>
      </c>
      <c r="N74" s="53">
        <f t="shared" si="13"/>
        <v>5294157</v>
      </c>
    </row>
    <row r="75" spans="1:14" ht="15.75">
      <c r="A75" s="18" t="s">
        <v>71</v>
      </c>
      <c r="B75" s="39">
        <f aca="true" t="shared" si="14" ref="B75:M75">B74/12</f>
        <v>8003.583333333333</v>
      </c>
      <c r="C75" s="39">
        <f t="shared" si="14"/>
        <v>6822.75</v>
      </c>
      <c r="D75" s="39">
        <f t="shared" si="14"/>
        <v>3944.0833333333335</v>
      </c>
      <c r="E75" s="39">
        <f t="shared" si="14"/>
        <v>20368.75</v>
      </c>
      <c r="F75" s="39">
        <f t="shared" si="14"/>
        <v>22077.416666666668</v>
      </c>
      <c r="G75" s="39">
        <f t="shared" si="14"/>
        <v>20752</v>
      </c>
      <c r="H75" s="39">
        <f t="shared" si="14"/>
        <v>39421.166666666664</v>
      </c>
      <c r="I75" s="39">
        <f t="shared" si="14"/>
        <v>28024.583333333332</v>
      </c>
      <c r="J75" s="39">
        <f t="shared" si="14"/>
        <v>63917.666666666664</v>
      </c>
      <c r="K75" s="39">
        <f t="shared" si="14"/>
        <v>53885.916666666664</v>
      </c>
      <c r="L75" s="39">
        <f t="shared" si="14"/>
        <v>79649.75</v>
      </c>
      <c r="M75" s="39">
        <f t="shared" si="14"/>
        <v>94312.08333333333</v>
      </c>
      <c r="N75" s="39">
        <f>N74/12</f>
        <v>441179.75</v>
      </c>
    </row>
    <row r="76" spans="1:14" ht="19.5" customHeight="1">
      <c r="A76" s="46" t="s">
        <v>135</v>
      </c>
      <c r="B76" s="39">
        <f>B75/93</f>
        <v>86.0600358422939</v>
      </c>
      <c r="C76" s="39">
        <f>C75/129</f>
        <v>52.88953488372093</v>
      </c>
      <c r="D76" s="39">
        <f>D75/42</f>
        <v>93.90674603174604</v>
      </c>
      <c r="E76" s="39">
        <f>E75/194</f>
        <v>104.99355670103093</v>
      </c>
      <c r="F76" s="39">
        <f>F75/(296+359)</f>
        <v>33.70597964376591</v>
      </c>
      <c r="G76" s="39">
        <f>G75/368</f>
        <v>56.391304347826086</v>
      </c>
      <c r="H76" s="39">
        <f>H75/312</f>
        <v>126.34989316239316</v>
      </c>
      <c r="I76" s="39">
        <f>I75/(99+120+122)</f>
        <v>82.18352883675463</v>
      </c>
      <c r="J76" s="39">
        <f>J75/(127+295+282)</f>
        <v>90.79214015151514</v>
      </c>
      <c r="K76" s="39">
        <f>K75/(363+80)</f>
        <v>121.63863807373964</v>
      </c>
      <c r="L76" s="39">
        <f>L75/(48+32+48+176+270+176)</f>
        <v>106.19966666666667</v>
      </c>
      <c r="M76" s="39">
        <f>M75/(328+160+192+320)</f>
        <v>94.31208333333333</v>
      </c>
      <c r="N76" s="42">
        <f>N75/5031</f>
        <v>87.69225800039753</v>
      </c>
    </row>
    <row r="77" spans="1:14" ht="15.75">
      <c r="A77" s="47" t="s">
        <v>142</v>
      </c>
      <c r="B77" s="39">
        <f aca="true" t="shared" si="15" ref="B77:N77">B76*12/2.5</f>
        <v>413.0881720430107</v>
      </c>
      <c r="C77" s="39">
        <f t="shared" si="15"/>
        <v>253.86976744186046</v>
      </c>
      <c r="D77" s="39">
        <f t="shared" si="15"/>
        <v>450.75238095238103</v>
      </c>
      <c r="E77" s="39">
        <f t="shared" si="15"/>
        <v>503.96907216494844</v>
      </c>
      <c r="F77" s="39">
        <f t="shared" si="15"/>
        <v>161.78870229007634</v>
      </c>
      <c r="G77" s="39">
        <f t="shared" si="15"/>
        <v>270.6782608695652</v>
      </c>
      <c r="H77" s="39">
        <f t="shared" si="15"/>
        <v>606.4794871794871</v>
      </c>
      <c r="I77" s="39">
        <f t="shared" si="15"/>
        <v>394.4809384164222</v>
      </c>
      <c r="J77" s="39">
        <f t="shared" si="15"/>
        <v>435.8022727272727</v>
      </c>
      <c r="K77" s="39">
        <f t="shared" si="15"/>
        <v>583.8654627539503</v>
      </c>
      <c r="L77" s="39">
        <f t="shared" si="15"/>
        <v>509.75840000000005</v>
      </c>
      <c r="M77" s="39">
        <f t="shared" si="15"/>
        <v>452.698</v>
      </c>
      <c r="N77" s="39">
        <f t="shared" si="15"/>
        <v>420.9228384019081</v>
      </c>
    </row>
    <row r="78" spans="1:14" s="40" customFormat="1" ht="15.75">
      <c r="A78" s="5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s="40" customFormat="1" ht="15.75">
      <c r="A79" s="5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s="40" customFormat="1" ht="15.75">
      <c r="A80" s="5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s="40" customFormat="1" ht="15.75">
      <c r="A81" s="5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s="40" customFormat="1" ht="15.75">
      <c r="A82" s="5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s="40" customFormat="1" ht="15.75">
      <c r="A83" s="5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s="40" customFormat="1" ht="15.75">
      <c r="A84" s="5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6" spans="1:14" ht="15.75">
      <c r="A86" s="2" t="s">
        <v>18</v>
      </c>
      <c r="B86" s="16" t="s">
        <v>0</v>
      </c>
      <c r="C86" s="16" t="s">
        <v>1</v>
      </c>
      <c r="D86" s="16" t="s">
        <v>2</v>
      </c>
      <c r="E86" s="16" t="s">
        <v>3</v>
      </c>
      <c r="F86" s="16" t="s">
        <v>70</v>
      </c>
      <c r="G86" s="16" t="s">
        <v>6</v>
      </c>
      <c r="H86" s="16" t="s">
        <v>7</v>
      </c>
      <c r="I86" s="16" t="s">
        <v>8</v>
      </c>
      <c r="J86" s="17" t="s">
        <v>139</v>
      </c>
      <c r="K86" s="16" t="s">
        <v>11</v>
      </c>
      <c r="L86" s="16" t="s">
        <v>13</v>
      </c>
      <c r="M86" s="19" t="s">
        <v>140</v>
      </c>
      <c r="N86" s="3" t="s">
        <v>134</v>
      </c>
    </row>
    <row r="87" spans="1:14" ht="15.75">
      <c r="A87" s="13" t="s">
        <v>155</v>
      </c>
      <c r="B87" s="2">
        <v>6988</v>
      </c>
      <c r="C87" s="2">
        <v>5003</v>
      </c>
      <c r="D87" s="2">
        <v>3627</v>
      </c>
      <c r="E87" s="2">
        <v>14123</v>
      </c>
      <c r="F87" s="2">
        <v>14863</v>
      </c>
      <c r="G87" s="2">
        <v>17444</v>
      </c>
      <c r="H87" s="2">
        <v>26190</v>
      </c>
      <c r="I87" s="2">
        <v>23896</v>
      </c>
      <c r="J87" s="2">
        <v>55118</v>
      </c>
      <c r="K87" s="2">
        <v>45403</v>
      </c>
      <c r="L87" s="2">
        <v>59740</v>
      </c>
      <c r="M87" s="2">
        <v>77662</v>
      </c>
      <c r="N87" s="4">
        <f aca="true" t="shared" si="16" ref="N87:N98">SUM(B87:M87)</f>
        <v>350057</v>
      </c>
    </row>
    <row r="88" spans="1:14" ht="15.75">
      <c r="A88" s="13" t="s">
        <v>156</v>
      </c>
      <c r="B88" s="2">
        <v>5991</v>
      </c>
      <c r="C88" s="2">
        <v>4652</v>
      </c>
      <c r="D88" s="2">
        <v>3073</v>
      </c>
      <c r="E88" s="2">
        <v>10998</v>
      </c>
      <c r="F88" s="2">
        <v>13652</v>
      </c>
      <c r="G88" s="2">
        <v>14549</v>
      </c>
      <c r="H88" s="2">
        <v>21372</v>
      </c>
      <c r="I88" s="2">
        <v>20067</v>
      </c>
      <c r="J88" s="2">
        <v>45507</v>
      </c>
      <c r="K88" s="2">
        <v>39508</v>
      </c>
      <c r="L88" s="2">
        <v>40762</v>
      </c>
      <c r="M88" s="2">
        <v>65846</v>
      </c>
      <c r="N88" s="4">
        <f t="shared" si="16"/>
        <v>285977</v>
      </c>
    </row>
    <row r="89" spans="1:14" ht="15.75">
      <c r="A89" s="13" t="s">
        <v>157</v>
      </c>
      <c r="B89" s="2">
        <v>9022</v>
      </c>
      <c r="C89" s="2">
        <v>7302</v>
      </c>
      <c r="D89" s="2">
        <v>4809</v>
      </c>
      <c r="E89" s="2">
        <v>22248</v>
      </c>
      <c r="F89" s="2">
        <v>26301</v>
      </c>
      <c r="G89" s="2">
        <v>23003</v>
      </c>
      <c r="H89" s="2">
        <v>41676</v>
      </c>
      <c r="I89" s="2">
        <v>31573</v>
      </c>
      <c r="J89" s="2">
        <v>79489</v>
      </c>
      <c r="K89" s="2">
        <v>56944</v>
      </c>
      <c r="L89" s="2">
        <v>81752</v>
      </c>
      <c r="M89" s="2">
        <v>104304</v>
      </c>
      <c r="N89" s="4">
        <f t="shared" si="16"/>
        <v>488423</v>
      </c>
    </row>
    <row r="90" spans="1:14" ht="15.75">
      <c r="A90" s="13" t="s">
        <v>158</v>
      </c>
      <c r="B90" s="2">
        <v>6444</v>
      </c>
      <c r="C90" s="2">
        <v>5670</v>
      </c>
      <c r="D90" s="2">
        <v>3764</v>
      </c>
      <c r="E90" s="2">
        <v>20197</v>
      </c>
      <c r="F90" s="2">
        <v>25053</v>
      </c>
      <c r="G90" s="2">
        <v>9921</v>
      </c>
      <c r="H90" s="2">
        <v>37038</v>
      </c>
      <c r="I90" s="2">
        <v>23743</v>
      </c>
      <c r="J90" s="2">
        <v>69224</v>
      </c>
      <c r="K90" s="2">
        <v>40701</v>
      </c>
      <c r="L90" s="2">
        <v>79495</v>
      </c>
      <c r="M90" s="2">
        <v>89034</v>
      </c>
      <c r="N90" s="4">
        <f t="shared" si="16"/>
        <v>410284</v>
      </c>
    </row>
    <row r="91" spans="1:14" ht="15.75">
      <c r="A91" s="13" t="s">
        <v>159</v>
      </c>
      <c r="B91" s="2">
        <v>7700</v>
      </c>
      <c r="C91" s="2">
        <v>6553</v>
      </c>
      <c r="D91" s="2">
        <v>4183</v>
      </c>
      <c r="E91" s="2">
        <v>23962</v>
      </c>
      <c r="F91" s="2">
        <v>29988</v>
      </c>
      <c r="G91" s="2">
        <v>26999</v>
      </c>
      <c r="H91" s="2">
        <v>44197</v>
      </c>
      <c r="I91" s="2">
        <v>26470</v>
      </c>
      <c r="J91" s="2">
        <v>77028</v>
      </c>
      <c r="K91" s="2">
        <v>47645</v>
      </c>
      <c r="L91" s="2">
        <v>93589</v>
      </c>
      <c r="M91" s="2">
        <v>102097</v>
      </c>
      <c r="N91" s="4">
        <f t="shared" si="16"/>
        <v>490411</v>
      </c>
    </row>
    <row r="92" spans="1:14" ht="15.75">
      <c r="A92" s="13" t="s">
        <v>160</v>
      </c>
      <c r="B92" s="2">
        <v>10310</v>
      </c>
      <c r="C92" s="2">
        <v>8185</v>
      </c>
      <c r="D92" s="2">
        <v>5096</v>
      </c>
      <c r="E92" s="2">
        <v>28952</v>
      </c>
      <c r="F92" s="2">
        <v>33681</v>
      </c>
      <c r="G92" s="2">
        <v>23132</v>
      </c>
      <c r="H92" s="2">
        <v>50632</v>
      </c>
      <c r="I92" s="2">
        <v>32923</v>
      </c>
      <c r="J92" s="2">
        <v>90264</v>
      </c>
      <c r="K92" s="2">
        <v>66928</v>
      </c>
      <c r="L92" s="2">
        <v>123460</v>
      </c>
      <c r="M92" s="2">
        <v>123460</v>
      </c>
      <c r="N92" s="4">
        <f t="shared" si="16"/>
        <v>597023</v>
      </c>
    </row>
    <row r="93" spans="1:14" ht="15.75">
      <c r="A93" s="13" t="s">
        <v>161</v>
      </c>
      <c r="B93" s="2">
        <v>7425</v>
      </c>
      <c r="C93" s="2">
        <v>6598</v>
      </c>
      <c r="D93" s="2">
        <v>3863</v>
      </c>
      <c r="E93" s="2">
        <v>16938</v>
      </c>
      <c r="F93" s="2">
        <v>8250</v>
      </c>
      <c r="G93" s="2">
        <v>1959</v>
      </c>
      <c r="H93" s="2">
        <v>25368</v>
      </c>
      <c r="I93" s="2">
        <v>28567</v>
      </c>
      <c r="J93" s="2">
        <v>43788</v>
      </c>
      <c r="K93" s="2">
        <v>53258</v>
      </c>
      <c r="L93" s="2">
        <v>70398</v>
      </c>
      <c r="M93" s="2">
        <v>67337</v>
      </c>
      <c r="N93" s="4">
        <f t="shared" si="16"/>
        <v>333749</v>
      </c>
    </row>
    <row r="94" spans="1:14" ht="15.75">
      <c r="A94" s="13" t="s">
        <v>162</v>
      </c>
      <c r="B94" s="2">
        <v>8842</v>
      </c>
      <c r="C94" s="2">
        <v>8715</v>
      </c>
      <c r="D94" s="2">
        <v>4266</v>
      </c>
      <c r="E94" s="2">
        <v>20779</v>
      </c>
      <c r="F94" s="2">
        <v>7005</v>
      </c>
      <c r="G94" s="2">
        <v>3243</v>
      </c>
      <c r="H94" s="2">
        <v>18271</v>
      </c>
      <c r="I94" s="2">
        <v>32434</v>
      </c>
      <c r="J94" s="2">
        <v>50435</v>
      </c>
      <c r="K94" s="2">
        <v>61490</v>
      </c>
      <c r="L94" s="2">
        <v>81085</v>
      </c>
      <c r="M94" s="2">
        <v>79396</v>
      </c>
      <c r="N94" s="4">
        <f t="shared" si="16"/>
        <v>375961</v>
      </c>
    </row>
    <row r="95" spans="1:14" ht="15.75">
      <c r="A95" s="13" t="s">
        <v>163</v>
      </c>
      <c r="B95" s="2">
        <v>7907</v>
      </c>
      <c r="C95" s="2">
        <v>7042</v>
      </c>
      <c r="D95" s="2">
        <v>4190</v>
      </c>
      <c r="E95" s="2">
        <v>23461</v>
      </c>
      <c r="F95" s="2">
        <v>20912</v>
      </c>
      <c r="G95" s="2">
        <v>22132</v>
      </c>
      <c r="H95" s="2">
        <v>369</v>
      </c>
      <c r="I95" s="2">
        <v>27666</v>
      </c>
      <c r="J95" s="2">
        <v>69310</v>
      </c>
      <c r="K95" s="2">
        <v>50144</v>
      </c>
      <c r="L95" s="2">
        <v>80691</v>
      </c>
      <c r="M95" s="2">
        <v>92219</v>
      </c>
      <c r="N95" s="4">
        <f>SUM(B95:M95)</f>
        <v>406043</v>
      </c>
    </row>
    <row r="96" spans="1:14" ht="15.75">
      <c r="A96" s="13" t="s">
        <v>164</v>
      </c>
      <c r="B96" s="2">
        <v>7508</v>
      </c>
      <c r="C96" s="2">
        <v>7032</v>
      </c>
      <c r="D96" s="2">
        <v>4041</v>
      </c>
      <c r="E96" s="2">
        <v>25246</v>
      </c>
      <c r="F96" s="2">
        <v>26831</v>
      </c>
      <c r="G96" s="2">
        <v>23483</v>
      </c>
      <c r="H96" s="2">
        <v>27775</v>
      </c>
      <c r="I96" s="2">
        <v>33351</v>
      </c>
      <c r="J96" s="2">
        <v>81146</v>
      </c>
      <c r="K96" s="2">
        <v>48607</v>
      </c>
      <c r="L96" s="2">
        <v>91532</v>
      </c>
      <c r="M96" s="2">
        <v>104157</v>
      </c>
      <c r="N96" s="4">
        <f t="shared" si="16"/>
        <v>480709</v>
      </c>
    </row>
    <row r="97" spans="1:14" ht="15.75">
      <c r="A97" s="13" t="s">
        <v>165</v>
      </c>
      <c r="B97" s="2">
        <v>8196</v>
      </c>
      <c r="C97" s="2">
        <v>7985</v>
      </c>
      <c r="D97" s="2">
        <v>4949</v>
      </c>
      <c r="E97" s="2">
        <v>26066</v>
      </c>
      <c r="F97" s="2">
        <v>28722</v>
      </c>
      <c r="G97" s="2">
        <v>24328</v>
      </c>
      <c r="H97" s="2">
        <v>4487</v>
      </c>
      <c r="I97" s="2">
        <v>30072</v>
      </c>
      <c r="J97" s="2">
        <v>86868</v>
      </c>
      <c r="K97" s="2">
        <v>52710</v>
      </c>
      <c r="L97" s="2">
        <v>91229</v>
      </c>
      <c r="M97" s="2">
        <v>109813</v>
      </c>
      <c r="N97" s="4">
        <f t="shared" si="16"/>
        <v>475425</v>
      </c>
    </row>
    <row r="98" spans="1:14" ht="15.75">
      <c r="A98" s="13" t="s">
        <v>166</v>
      </c>
      <c r="B98" s="2">
        <v>7925</v>
      </c>
      <c r="C98" s="2">
        <v>7189</v>
      </c>
      <c r="D98" s="2">
        <v>5012</v>
      </c>
      <c r="E98" s="2">
        <v>21778</v>
      </c>
      <c r="F98" s="2">
        <v>24434</v>
      </c>
      <c r="G98" s="2">
        <v>21404</v>
      </c>
      <c r="H98" s="2">
        <v>4434</v>
      </c>
      <c r="I98" s="2">
        <v>28029</v>
      </c>
      <c r="J98" s="2">
        <v>73302</v>
      </c>
      <c r="K98" s="2">
        <v>51599</v>
      </c>
      <c r="L98" s="2">
        <v>73257</v>
      </c>
      <c r="M98" s="2">
        <v>97145</v>
      </c>
      <c r="N98" s="4">
        <f t="shared" si="16"/>
        <v>415508</v>
      </c>
    </row>
    <row r="99" spans="1:14" s="40" customFormat="1" ht="15.75">
      <c r="A99" s="52" t="s">
        <v>74</v>
      </c>
      <c r="B99" s="53">
        <f aca="true" t="shared" si="17" ref="B99:N99">SUM(B87:B98)</f>
        <v>94258</v>
      </c>
      <c r="C99" s="53">
        <f t="shared" si="17"/>
        <v>81926</v>
      </c>
      <c r="D99" s="53">
        <f t="shared" si="17"/>
        <v>50873</v>
      </c>
      <c r="E99" s="53">
        <f t="shared" si="17"/>
        <v>254748</v>
      </c>
      <c r="F99" s="53">
        <f t="shared" si="17"/>
        <v>259692</v>
      </c>
      <c r="G99" s="53">
        <f t="shared" si="17"/>
        <v>211597</v>
      </c>
      <c r="H99" s="53">
        <f t="shared" si="17"/>
        <v>301809</v>
      </c>
      <c r="I99" s="53">
        <f t="shared" si="17"/>
        <v>338791</v>
      </c>
      <c r="J99" s="53">
        <f t="shared" si="17"/>
        <v>821479</v>
      </c>
      <c r="K99" s="53">
        <f t="shared" si="17"/>
        <v>614937</v>
      </c>
      <c r="L99" s="53">
        <f t="shared" si="17"/>
        <v>966990</v>
      </c>
      <c r="M99" s="53">
        <f t="shared" si="17"/>
        <v>1112470</v>
      </c>
      <c r="N99" s="53">
        <f t="shared" si="17"/>
        <v>5109570</v>
      </c>
    </row>
    <row r="100" spans="1:14" ht="15.75">
      <c r="A100" s="18" t="s">
        <v>71</v>
      </c>
      <c r="B100" s="39">
        <f>B99/12</f>
        <v>7854.833333333333</v>
      </c>
      <c r="C100" s="39">
        <f aca="true" t="shared" si="18" ref="C100:M100">C99/12</f>
        <v>6827.166666666667</v>
      </c>
      <c r="D100" s="39">
        <f t="shared" si="18"/>
        <v>4239.416666666667</v>
      </c>
      <c r="E100" s="39">
        <f t="shared" si="18"/>
        <v>21229</v>
      </c>
      <c r="F100" s="39">
        <f t="shared" si="18"/>
        <v>21641</v>
      </c>
      <c r="G100" s="39">
        <f t="shared" si="18"/>
        <v>17633.083333333332</v>
      </c>
      <c r="H100" s="39">
        <f t="shared" si="18"/>
        <v>25150.75</v>
      </c>
      <c r="I100" s="39">
        <f t="shared" si="18"/>
        <v>28232.583333333332</v>
      </c>
      <c r="J100" s="39">
        <f t="shared" si="18"/>
        <v>68456.58333333333</v>
      </c>
      <c r="K100" s="39">
        <f t="shared" si="18"/>
        <v>51244.75</v>
      </c>
      <c r="L100" s="39">
        <f t="shared" si="18"/>
        <v>80582.5</v>
      </c>
      <c r="M100" s="39">
        <f t="shared" si="18"/>
        <v>92705.83333333333</v>
      </c>
      <c r="N100" s="39">
        <f>N99/12</f>
        <v>425797.5</v>
      </c>
    </row>
    <row r="101" spans="1:14" ht="15.75">
      <c r="A101" s="46" t="s">
        <v>135</v>
      </c>
      <c r="B101" s="39">
        <f>B100/93</f>
        <v>84.4605734767025</v>
      </c>
      <c r="C101" s="39">
        <f>C100/129</f>
        <v>52.923772609819125</v>
      </c>
      <c r="D101" s="39">
        <f>D100/42</f>
        <v>100.93849206349208</v>
      </c>
      <c r="E101" s="39">
        <f>E100/194</f>
        <v>109.4278350515464</v>
      </c>
      <c r="F101" s="39">
        <f>F100/(296+359)</f>
        <v>33.03969465648855</v>
      </c>
      <c r="G101" s="39">
        <f>G100/368</f>
        <v>47.91598731884058</v>
      </c>
      <c r="H101" s="39">
        <f>H100/312</f>
        <v>80.6113782051282</v>
      </c>
      <c r="I101" s="39">
        <f>I100/(99+120+122)</f>
        <v>82.79349951124145</v>
      </c>
      <c r="J101" s="39">
        <f>J100/(127+295+282)</f>
        <v>97.2394649621212</v>
      </c>
      <c r="K101" s="39">
        <f>K100/(363+80)</f>
        <v>115.67663656884876</v>
      </c>
      <c r="L101" s="39">
        <f>L100/(48+32+48+176+270+176)</f>
        <v>107.44333333333333</v>
      </c>
      <c r="M101" s="39">
        <f>M100/(328+160+192+320)</f>
        <v>92.70583333333333</v>
      </c>
      <c r="N101" s="42">
        <f>N100/5031</f>
        <v>84.63476446034585</v>
      </c>
    </row>
    <row r="102" spans="1:14" ht="15.75">
      <c r="A102" s="47" t="s">
        <v>142</v>
      </c>
      <c r="B102" s="39">
        <f aca="true" t="shared" si="19" ref="B102:N102">B101*12/2.5</f>
        <v>405.410752688172</v>
      </c>
      <c r="C102" s="39">
        <f t="shared" si="19"/>
        <v>254.03410852713176</v>
      </c>
      <c r="D102" s="39">
        <f t="shared" si="19"/>
        <v>484.504761904762</v>
      </c>
      <c r="E102" s="39">
        <f t="shared" si="19"/>
        <v>525.2536082474228</v>
      </c>
      <c r="F102" s="39">
        <f t="shared" si="19"/>
        <v>158.59053435114504</v>
      </c>
      <c r="G102" s="39">
        <f t="shared" si="19"/>
        <v>229.9967391304348</v>
      </c>
      <c r="H102" s="39">
        <f t="shared" si="19"/>
        <v>386.93461538461537</v>
      </c>
      <c r="I102" s="39">
        <f t="shared" si="19"/>
        <v>397.4087976539589</v>
      </c>
      <c r="J102" s="39">
        <f t="shared" si="19"/>
        <v>466.7494318181818</v>
      </c>
      <c r="K102" s="39">
        <f t="shared" si="19"/>
        <v>555.247855530474</v>
      </c>
      <c r="L102" s="39">
        <f t="shared" si="19"/>
        <v>515.728</v>
      </c>
      <c r="M102" s="39">
        <f t="shared" si="19"/>
        <v>444.988</v>
      </c>
      <c r="N102" s="39">
        <f t="shared" si="19"/>
        <v>406.24686940966006</v>
      </c>
    </row>
    <row r="105" spans="1:14" ht="15.75">
      <c r="A105" s="2" t="s">
        <v>18</v>
      </c>
      <c r="B105" s="16" t="s">
        <v>0</v>
      </c>
      <c r="C105" s="16" t="s">
        <v>1</v>
      </c>
      <c r="D105" s="16" t="s">
        <v>2</v>
      </c>
      <c r="E105" s="16" t="s">
        <v>3</v>
      </c>
      <c r="F105" s="16" t="s">
        <v>70</v>
      </c>
      <c r="G105" s="16" t="s">
        <v>6</v>
      </c>
      <c r="H105" s="16" t="s">
        <v>7</v>
      </c>
      <c r="I105" s="16" t="s">
        <v>8</v>
      </c>
      <c r="J105" s="16" t="s">
        <v>191</v>
      </c>
      <c r="K105" s="16" t="s">
        <v>11</v>
      </c>
      <c r="L105" s="16" t="s">
        <v>13</v>
      </c>
      <c r="M105" s="56" t="s">
        <v>192</v>
      </c>
      <c r="N105" s="3" t="s">
        <v>134</v>
      </c>
    </row>
    <row r="106" spans="1:14" ht="15.75">
      <c r="A106" s="13" t="s">
        <v>167</v>
      </c>
      <c r="B106" s="2">
        <v>8581</v>
      </c>
      <c r="C106" s="2">
        <v>7772</v>
      </c>
      <c r="D106" s="2">
        <v>5969</v>
      </c>
      <c r="E106" s="2">
        <v>18473</v>
      </c>
      <c r="F106" s="2">
        <v>18974</v>
      </c>
      <c r="G106" s="2">
        <v>24992</v>
      </c>
      <c r="H106" s="2">
        <v>22973</v>
      </c>
      <c r="I106" s="2">
        <v>32818</v>
      </c>
      <c r="J106" s="2">
        <v>65426</v>
      </c>
      <c r="K106" s="2">
        <v>59957</v>
      </c>
      <c r="L106" s="2">
        <v>69423</v>
      </c>
      <c r="M106" s="2">
        <v>88357</v>
      </c>
      <c r="N106" s="4">
        <f aca="true" t="shared" si="20" ref="N106:N113">SUM(B106:M106)</f>
        <v>423715</v>
      </c>
    </row>
    <row r="107" spans="1:14" ht="15.75">
      <c r="A107" s="13" t="s">
        <v>168</v>
      </c>
      <c r="B107" s="2">
        <v>5088</v>
      </c>
      <c r="C107" s="2">
        <v>4882</v>
      </c>
      <c r="D107" s="2">
        <v>3640</v>
      </c>
      <c r="E107" s="2">
        <v>9779</v>
      </c>
      <c r="F107" s="2">
        <v>10935</v>
      </c>
      <c r="G107" s="2">
        <v>13402</v>
      </c>
      <c r="H107" s="2">
        <v>19458</v>
      </c>
      <c r="I107" s="2">
        <v>18200</v>
      </c>
      <c r="J107" s="2">
        <v>35377</v>
      </c>
      <c r="K107" s="2">
        <v>29782</v>
      </c>
      <c r="L107" s="2">
        <v>37228</v>
      </c>
      <c r="M107" s="2">
        <v>63598</v>
      </c>
      <c r="N107" s="4">
        <f t="shared" si="20"/>
        <v>251369</v>
      </c>
    </row>
    <row r="108" spans="1:14" ht="15.75">
      <c r="A108" s="13" t="s">
        <v>169</v>
      </c>
      <c r="B108" s="2">
        <v>5986</v>
      </c>
      <c r="C108" s="2">
        <v>6040</v>
      </c>
      <c r="D108" s="2">
        <v>4240</v>
      </c>
      <c r="E108" s="2">
        <v>20023</v>
      </c>
      <c r="F108" s="2">
        <v>23796</v>
      </c>
      <c r="G108" s="2">
        <v>20914</v>
      </c>
      <c r="H108" s="2">
        <v>41675</v>
      </c>
      <c r="I108" s="2">
        <v>26355</v>
      </c>
      <c r="J108" s="2">
        <v>70067</v>
      </c>
      <c r="K108" s="2">
        <v>52286</v>
      </c>
      <c r="L108" s="2">
        <v>73327</v>
      </c>
      <c r="M108" s="2">
        <v>92456</v>
      </c>
      <c r="N108" s="4">
        <f t="shared" si="20"/>
        <v>437165</v>
      </c>
    </row>
    <row r="109" spans="1:14" ht="15.75">
      <c r="A109" s="13" t="s">
        <v>170</v>
      </c>
      <c r="B109" s="2">
        <v>6270</v>
      </c>
      <c r="C109" s="2">
        <v>5872</v>
      </c>
      <c r="D109" s="2">
        <v>3874</v>
      </c>
      <c r="E109" s="2">
        <v>20500</v>
      </c>
      <c r="F109" s="2">
        <v>24633</v>
      </c>
      <c r="G109" s="2">
        <v>20864</v>
      </c>
      <c r="H109" s="2">
        <v>42887</v>
      </c>
      <c r="I109" s="2">
        <v>25790</v>
      </c>
      <c r="J109" s="2">
        <v>72698</v>
      </c>
      <c r="K109" s="2">
        <v>49842</v>
      </c>
      <c r="L109" s="2">
        <v>75343</v>
      </c>
      <c r="M109" s="2">
        <v>86934</v>
      </c>
      <c r="N109" s="4">
        <f t="shared" si="20"/>
        <v>435507</v>
      </c>
    </row>
    <row r="110" spans="1:14" ht="15.75">
      <c r="A110" s="13" t="s">
        <v>171</v>
      </c>
      <c r="B110" s="2">
        <v>7754</v>
      </c>
      <c r="C110" s="2">
        <v>6651</v>
      </c>
      <c r="D110" s="2">
        <v>4201</v>
      </c>
      <c r="E110" s="2">
        <v>27050</v>
      </c>
      <c r="F110" s="2">
        <v>31463</v>
      </c>
      <c r="G110" s="2">
        <v>25313</v>
      </c>
      <c r="H110" s="2">
        <v>63593</v>
      </c>
      <c r="I110" s="2">
        <v>29920</v>
      </c>
      <c r="J110" s="2">
        <v>81000</v>
      </c>
      <c r="K110" s="2">
        <v>58117</v>
      </c>
      <c r="L110" s="2">
        <v>93633</v>
      </c>
      <c r="M110" s="2">
        <v>108162</v>
      </c>
      <c r="N110" s="4">
        <f t="shared" si="20"/>
        <v>536857</v>
      </c>
    </row>
    <row r="111" spans="1:14" ht="15.75">
      <c r="A111" s="13" t="s">
        <v>172</v>
      </c>
      <c r="B111" s="2">
        <v>7369</v>
      </c>
      <c r="C111" s="2">
        <v>6285</v>
      </c>
      <c r="D111" s="2">
        <v>4536</v>
      </c>
      <c r="E111" s="2">
        <v>25587</v>
      </c>
      <c r="F111" s="2">
        <v>26473</v>
      </c>
      <c r="G111" s="2">
        <v>24969</v>
      </c>
      <c r="H111" s="2">
        <v>66509</v>
      </c>
      <c r="I111" s="2">
        <v>33292</v>
      </c>
      <c r="J111" s="2">
        <v>78831</v>
      </c>
      <c r="K111" s="2">
        <v>58451</v>
      </c>
      <c r="L111" s="2">
        <v>104985</v>
      </c>
      <c r="M111" s="2">
        <v>123428</v>
      </c>
      <c r="N111" s="4">
        <f t="shared" si="20"/>
        <v>560715</v>
      </c>
    </row>
    <row r="112" spans="1:14" ht="15.75">
      <c r="A112" s="13" t="s">
        <v>173</v>
      </c>
      <c r="B112" s="2">
        <v>557</v>
      </c>
      <c r="C112" s="2">
        <v>379</v>
      </c>
      <c r="D112" s="2">
        <v>5050</v>
      </c>
      <c r="E112" s="2">
        <v>20635</v>
      </c>
      <c r="F112" s="2">
        <v>8676</v>
      </c>
      <c r="G112" s="2">
        <v>25750</v>
      </c>
      <c r="H112" s="2">
        <v>63139</v>
      </c>
      <c r="I112" s="2">
        <v>50963</v>
      </c>
      <c r="J112" s="2">
        <v>47382</v>
      </c>
      <c r="K112" s="2">
        <v>21887</v>
      </c>
      <c r="L112" s="2">
        <v>67594</v>
      </c>
      <c r="M112" s="2">
        <v>90125</v>
      </c>
      <c r="N112" s="4">
        <f t="shared" si="20"/>
        <v>402137</v>
      </c>
    </row>
    <row r="113" spans="1:14" ht="15.75">
      <c r="A113" s="13" t="s">
        <v>174</v>
      </c>
      <c r="B113" s="2">
        <v>3074</v>
      </c>
      <c r="C113" s="2">
        <v>3512</v>
      </c>
      <c r="D113" s="2">
        <v>5187</v>
      </c>
      <c r="E113" s="2">
        <v>17719</v>
      </c>
      <c r="F113" s="2">
        <v>54274</v>
      </c>
      <c r="G113" s="2">
        <v>54573</v>
      </c>
      <c r="H113" s="2">
        <v>51451</v>
      </c>
      <c r="I113" s="2">
        <v>45836</v>
      </c>
      <c r="J113" s="2">
        <v>61939</v>
      </c>
      <c r="K113" s="2">
        <v>22181</v>
      </c>
      <c r="L113" s="2">
        <v>53180</v>
      </c>
      <c r="M113" s="2">
        <v>92608</v>
      </c>
      <c r="N113" s="4">
        <f t="shared" si="20"/>
        <v>465534</v>
      </c>
    </row>
    <row r="114" spans="1:14" ht="15.75">
      <c r="A114" s="13" t="s">
        <v>175</v>
      </c>
      <c r="B114" s="2">
        <v>8066</v>
      </c>
      <c r="C114" s="2">
        <v>10109</v>
      </c>
      <c r="D114" s="2">
        <v>3964</v>
      </c>
      <c r="E114" s="2">
        <v>20022</v>
      </c>
      <c r="F114" s="2">
        <f>17114+10474+11385</f>
        <v>38973</v>
      </c>
      <c r="G114" s="2">
        <v>36053</v>
      </c>
      <c r="H114" s="2">
        <v>42673</v>
      </c>
      <c r="I114" s="2">
        <v>36812</v>
      </c>
      <c r="J114" s="2">
        <f>60783</f>
        <v>60783</v>
      </c>
      <c r="K114" s="2">
        <v>51753</v>
      </c>
      <c r="L114" s="2">
        <v>85388</v>
      </c>
      <c r="M114" s="2">
        <f>98326+9973</f>
        <v>108299</v>
      </c>
      <c r="N114" s="4">
        <f>SUM(B114:M114)</f>
        <v>502895</v>
      </c>
    </row>
    <row r="115" spans="1:14" ht="15.75">
      <c r="A115" s="13" t="s">
        <v>176</v>
      </c>
      <c r="B115" s="2">
        <v>10314</v>
      </c>
      <c r="C115" s="2">
        <v>12670</v>
      </c>
      <c r="D115" s="2">
        <v>5119</v>
      </c>
      <c r="E115" s="2">
        <v>27283</v>
      </c>
      <c r="F115" s="2">
        <f>28736+8232+7560</f>
        <v>44528</v>
      </c>
      <c r="G115" s="2">
        <v>30380</v>
      </c>
      <c r="H115" s="2">
        <v>49703</v>
      </c>
      <c r="I115" s="2">
        <v>35140</v>
      </c>
      <c r="J115" s="2">
        <v>88821</v>
      </c>
      <c r="K115" s="2">
        <v>41852</v>
      </c>
      <c r="L115" s="2">
        <v>92399</v>
      </c>
      <c r="M115" s="2">
        <f>97363+2688</f>
        <v>100051</v>
      </c>
      <c r="N115" s="4">
        <f>SUM(B115:M115)</f>
        <v>538260</v>
      </c>
    </row>
    <row r="116" spans="1:14" ht="15.75">
      <c r="A116" s="13" t="s">
        <v>177</v>
      </c>
      <c r="B116" s="2">
        <v>8440</v>
      </c>
      <c r="C116" s="2">
        <v>9823</v>
      </c>
      <c r="D116" s="2">
        <v>4187</v>
      </c>
      <c r="E116" s="2">
        <v>20358</v>
      </c>
      <c r="F116" s="2">
        <f>27665+1614+1862</f>
        <v>31141</v>
      </c>
      <c r="G116" s="2">
        <f>20274+2172</f>
        <v>22446</v>
      </c>
      <c r="H116" s="2">
        <v>39192</v>
      </c>
      <c r="I116" s="2">
        <v>31238</v>
      </c>
      <c r="J116" s="2">
        <f>79135</f>
        <v>79135</v>
      </c>
      <c r="K116" s="2">
        <v>35231</v>
      </c>
      <c r="L116" s="2">
        <v>86887</v>
      </c>
      <c r="M116" s="2">
        <f>90272+1986</f>
        <v>92258</v>
      </c>
      <c r="N116" s="4">
        <f>SUM(B116:M116)</f>
        <v>460336</v>
      </c>
    </row>
    <row r="117" spans="1:14" ht="15.75">
      <c r="A117" s="13" t="s">
        <v>178</v>
      </c>
      <c r="B117" s="2">
        <v>7832</v>
      </c>
      <c r="C117" s="2">
        <v>8696</v>
      </c>
      <c r="D117" s="2">
        <v>4087</v>
      </c>
      <c r="E117" s="2">
        <v>17849</v>
      </c>
      <c r="F117" s="2">
        <f>22719+664+930</f>
        <v>24313</v>
      </c>
      <c r="G117" s="2">
        <f>17709+1328</f>
        <v>19037</v>
      </c>
      <c r="H117" s="2">
        <v>37030</v>
      </c>
      <c r="I117" s="2">
        <v>26896</v>
      </c>
      <c r="J117" s="2">
        <v>71598</v>
      </c>
      <c r="K117" s="2">
        <v>54124</v>
      </c>
      <c r="L117" s="2">
        <v>76371</v>
      </c>
      <c r="M117" s="2">
        <f>83012+1328</f>
        <v>84340</v>
      </c>
      <c r="N117" s="4">
        <f>SUM(B117:M117)</f>
        <v>432173</v>
      </c>
    </row>
    <row r="118" spans="1:14" ht="15.75">
      <c r="A118" s="52" t="s">
        <v>74</v>
      </c>
      <c r="B118" s="53">
        <f>SUM(B106:B117)</f>
        <v>79331</v>
      </c>
      <c r="C118" s="53">
        <f aca="true" t="shared" si="21" ref="C118:M118">SUM(C106:C117)</f>
        <v>82691</v>
      </c>
      <c r="D118" s="53">
        <f t="shared" si="21"/>
        <v>54054</v>
      </c>
      <c r="E118" s="53">
        <f t="shared" si="21"/>
        <v>245278</v>
      </c>
      <c r="F118" s="53">
        <f t="shared" si="21"/>
        <v>338179</v>
      </c>
      <c r="G118" s="53">
        <f t="shared" si="21"/>
        <v>318693</v>
      </c>
      <c r="H118" s="53">
        <f t="shared" si="21"/>
        <v>540283</v>
      </c>
      <c r="I118" s="53">
        <f t="shared" si="21"/>
        <v>393260</v>
      </c>
      <c r="J118" s="53">
        <f t="shared" si="21"/>
        <v>813057</v>
      </c>
      <c r="K118" s="53">
        <f t="shared" si="21"/>
        <v>535463</v>
      </c>
      <c r="L118" s="53">
        <f t="shared" si="21"/>
        <v>915758</v>
      </c>
      <c r="M118" s="53">
        <f t="shared" si="21"/>
        <v>1130616</v>
      </c>
      <c r="N118" s="53">
        <f>SUM(N106:N117)</f>
        <v>5446663</v>
      </c>
    </row>
    <row r="119" spans="1:14" ht="15.75">
      <c r="A119" s="18" t="s">
        <v>71</v>
      </c>
      <c r="B119" s="39">
        <f aca="true" t="shared" si="22" ref="B119:N119">B118/12</f>
        <v>6610.916666666667</v>
      </c>
      <c r="C119" s="39">
        <f t="shared" si="22"/>
        <v>6890.916666666667</v>
      </c>
      <c r="D119" s="39">
        <f t="shared" si="22"/>
        <v>4504.5</v>
      </c>
      <c r="E119" s="39">
        <f t="shared" si="22"/>
        <v>20439.833333333332</v>
      </c>
      <c r="F119" s="39">
        <f t="shared" si="22"/>
        <v>28181.583333333332</v>
      </c>
      <c r="G119" s="39">
        <f t="shared" si="22"/>
        <v>26557.75</v>
      </c>
      <c r="H119" s="39">
        <f t="shared" si="22"/>
        <v>45023.583333333336</v>
      </c>
      <c r="I119" s="39">
        <f t="shared" si="22"/>
        <v>32771.666666666664</v>
      </c>
      <c r="J119" s="39">
        <f t="shared" si="22"/>
        <v>67754.75</v>
      </c>
      <c r="K119" s="39">
        <f t="shared" si="22"/>
        <v>44621.916666666664</v>
      </c>
      <c r="L119" s="39">
        <f t="shared" si="22"/>
        <v>76313.16666666667</v>
      </c>
      <c r="M119" s="39">
        <f t="shared" si="22"/>
        <v>94218</v>
      </c>
      <c r="N119" s="39">
        <f t="shared" si="22"/>
        <v>453888.5833333333</v>
      </c>
    </row>
    <row r="120" spans="1:14" ht="15.75">
      <c r="A120" s="46" t="s">
        <v>135</v>
      </c>
      <c r="B120" s="39">
        <f>B119/82</f>
        <v>80.6209349593496</v>
      </c>
      <c r="C120" s="39">
        <f>C119/120</f>
        <v>57.424305555555556</v>
      </c>
      <c r="D120" s="39">
        <f>D119/46</f>
        <v>97.92391304347827</v>
      </c>
      <c r="E120" s="39">
        <f>E119/199</f>
        <v>102.71273031825795</v>
      </c>
      <c r="F120" s="39">
        <f>F119/(300+361)</f>
        <v>42.63477054967221</v>
      </c>
      <c r="G120" s="39">
        <f>G119/370</f>
        <v>71.7777027027027</v>
      </c>
      <c r="H120" s="39">
        <f>H119/314</f>
        <v>143.38720806794055</v>
      </c>
      <c r="I120" s="39">
        <f>I119/343</f>
        <v>95.54421768707482</v>
      </c>
      <c r="J120" s="39">
        <f>J119/(128+297+285)</f>
        <v>95.42922535211268</v>
      </c>
      <c r="K120" s="39">
        <f>K119/447</f>
        <v>99.82531692766591</v>
      </c>
      <c r="L120" s="39">
        <f>L119/(296+476)</f>
        <v>98.85125215889465</v>
      </c>
      <c r="M120" s="39">
        <f>M119/(328+173+192+326)</f>
        <v>92.4612365063788</v>
      </c>
      <c r="N120" s="42">
        <f>N119/5083</f>
        <v>89.29541281395501</v>
      </c>
    </row>
    <row r="121" spans="1:14" ht="15.75">
      <c r="A121" s="47" t="s">
        <v>142</v>
      </c>
      <c r="B121" s="39">
        <f aca="true" t="shared" si="23" ref="B121:N121">B120*12/2.5</f>
        <v>386.98048780487807</v>
      </c>
      <c r="C121" s="39">
        <f t="shared" si="23"/>
        <v>275.63666666666666</v>
      </c>
      <c r="D121" s="39">
        <f t="shared" si="23"/>
        <v>470.0347826086957</v>
      </c>
      <c r="E121" s="39">
        <f t="shared" si="23"/>
        <v>493.02110552763816</v>
      </c>
      <c r="F121" s="39">
        <f t="shared" si="23"/>
        <v>204.64689863842662</v>
      </c>
      <c r="G121" s="39">
        <f t="shared" si="23"/>
        <v>344.53297297297297</v>
      </c>
      <c r="H121" s="39">
        <f t="shared" si="23"/>
        <v>688.2585987261147</v>
      </c>
      <c r="I121" s="39">
        <f t="shared" si="23"/>
        <v>458.61224489795916</v>
      </c>
      <c r="J121" s="39">
        <f t="shared" si="23"/>
        <v>458.06028169014087</v>
      </c>
      <c r="K121" s="39">
        <f t="shared" si="23"/>
        <v>479.16152125279643</v>
      </c>
      <c r="L121" s="39">
        <f t="shared" si="23"/>
        <v>474.4860103626943</v>
      </c>
      <c r="M121" s="39">
        <f t="shared" si="23"/>
        <v>443.81393523061826</v>
      </c>
      <c r="N121" s="39">
        <f t="shared" si="23"/>
        <v>428.61798150698405</v>
      </c>
    </row>
    <row r="124" spans="1:16" ht="15.75">
      <c r="A124" s="2" t="s">
        <v>18</v>
      </c>
      <c r="B124" s="16" t="s">
        <v>0</v>
      </c>
      <c r="C124" s="16" t="s">
        <v>1</v>
      </c>
      <c r="D124" s="16" t="s">
        <v>2</v>
      </c>
      <c r="E124" s="16" t="s">
        <v>3</v>
      </c>
      <c r="F124" s="16" t="s">
        <v>70</v>
      </c>
      <c r="G124" s="16" t="s">
        <v>6</v>
      </c>
      <c r="H124" s="16" t="s">
        <v>7</v>
      </c>
      <c r="I124" s="16" t="s">
        <v>8</v>
      </c>
      <c r="J124" s="16" t="s">
        <v>191</v>
      </c>
      <c r="K124" s="16" t="s">
        <v>11</v>
      </c>
      <c r="L124" s="16" t="s">
        <v>13</v>
      </c>
      <c r="M124" s="56" t="s">
        <v>192</v>
      </c>
      <c r="N124" s="2" t="s">
        <v>217</v>
      </c>
      <c r="O124" s="2" t="s">
        <v>218</v>
      </c>
      <c r="P124" s="3" t="s">
        <v>134</v>
      </c>
    </row>
    <row r="125" spans="1:16" ht="15.75">
      <c r="A125" s="13" t="s">
        <v>193</v>
      </c>
      <c r="B125" s="2">
        <v>8554</v>
      </c>
      <c r="C125" s="2">
        <v>9189</v>
      </c>
      <c r="D125" s="2">
        <v>4959</v>
      </c>
      <c r="E125" s="2">
        <v>16187</v>
      </c>
      <c r="F125" s="2">
        <f>39039+753+904</f>
        <v>40696</v>
      </c>
      <c r="G125" s="2">
        <f>33892+1506</f>
        <v>35398</v>
      </c>
      <c r="H125" s="2">
        <v>24265</v>
      </c>
      <c r="I125" s="2">
        <v>33139</v>
      </c>
      <c r="J125" s="2">
        <v>64804</v>
      </c>
      <c r="K125" s="2">
        <v>39526</v>
      </c>
      <c r="L125" s="2">
        <v>71550</v>
      </c>
      <c r="M125" s="2">
        <f>80451+1205</f>
        <v>81656</v>
      </c>
      <c r="N125" s="2">
        <v>0</v>
      </c>
      <c r="O125" s="2">
        <v>0</v>
      </c>
      <c r="P125" s="4">
        <f>SUM(B125:O125)</f>
        <v>429923</v>
      </c>
    </row>
    <row r="126" spans="1:16" ht="15.75">
      <c r="A126" s="13" t="s">
        <v>194</v>
      </c>
      <c r="B126" s="2">
        <v>6121</v>
      </c>
      <c r="C126" s="2">
        <v>6421</v>
      </c>
      <c r="D126" s="2">
        <v>3242</v>
      </c>
      <c r="E126" s="2">
        <v>10418</v>
      </c>
      <c r="F126" s="2">
        <f>30016+232+347</f>
        <v>30595</v>
      </c>
      <c r="G126" s="2">
        <f>19110+869</f>
        <v>19979</v>
      </c>
      <c r="H126" s="2">
        <v>17880</v>
      </c>
      <c r="I126" s="2">
        <v>18531</v>
      </c>
      <c r="J126" s="2">
        <v>42022</v>
      </c>
      <c r="K126" s="2">
        <v>37737</v>
      </c>
      <c r="L126" s="2">
        <v>43431</v>
      </c>
      <c r="M126" s="2">
        <f>57908+1158</f>
        <v>59066</v>
      </c>
      <c r="N126" s="2">
        <v>0</v>
      </c>
      <c r="O126" s="2">
        <v>0</v>
      </c>
      <c r="P126" s="4">
        <f aca="true" t="shared" si="24" ref="P126:P136">SUM(B126:O126)</f>
        <v>295443</v>
      </c>
    </row>
    <row r="127" spans="1:16" ht="15.75">
      <c r="A127" s="13" t="s">
        <v>195</v>
      </c>
      <c r="B127" s="2">
        <v>7898</v>
      </c>
      <c r="C127" s="2">
        <v>8513</v>
      </c>
      <c r="D127" s="2">
        <v>3824</v>
      </c>
      <c r="E127" s="2">
        <v>18588</v>
      </c>
      <c r="F127" s="2">
        <f>59970+1064+798</f>
        <v>61832</v>
      </c>
      <c r="G127" s="2">
        <f>30808+1330</f>
        <v>32138</v>
      </c>
      <c r="H127" s="2">
        <v>33764</v>
      </c>
      <c r="I127" s="2">
        <v>28370</v>
      </c>
      <c r="J127" s="2">
        <f>74445</f>
        <v>74445</v>
      </c>
      <c r="K127" s="2">
        <v>37668</v>
      </c>
      <c r="L127" s="2">
        <v>79791</v>
      </c>
      <c r="M127" s="2">
        <f>83116+1330</f>
        <v>84446</v>
      </c>
      <c r="N127" s="2">
        <v>0</v>
      </c>
      <c r="O127" s="2">
        <v>0</v>
      </c>
      <c r="P127" s="4">
        <f t="shared" si="24"/>
        <v>471277</v>
      </c>
    </row>
    <row r="128" spans="1:16" ht="15.75">
      <c r="A128" s="13" t="s">
        <v>196</v>
      </c>
      <c r="B128" s="2">
        <v>7538</v>
      </c>
      <c r="C128" s="2">
        <v>9109</v>
      </c>
      <c r="D128" s="2">
        <v>3583</v>
      </c>
      <c r="E128" s="2">
        <v>18402</v>
      </c>
      <c r="F128" s="2">
        <f>63035+9654+8149</f>
        <v>80838</v>
      </c>
      <c r="G128" s="2">
        <f>31970+5642</f>
        <v>37612</v>
      </c>
      <c r="H128" s="2">
        <v>42814</v>
      </c>
      <c r="I128" s="2">
        <v>32075</v>
      </c>
      <c r="J128" s="2">
        <f>76682+380</f>
        <v>77062</v>
      </c>
      <c r="K128" s="2">
        <v>58194</v>
      </c>
      <c r="L128" s="2">
        <v>90895</v>
      </c>
      <c r="M128" s="2">
        <f>82632+2507</f>
        <v>85139</v>
      </c>
      <c r="N128" s="2">
        <v>0</v>
      </c>
      <c r="O128" s="2">
        <v>0</v>
      </c>
      <c r="P128" s="4">
        <f t="shared" si="24"/>
        <v>543261</v>
      </c>
    </row>
    <row r="129" spans="1:16" ht="15.75">
      <c r="A129" s="13" t="s">
        <v>197</v>
      </c>
      <c r="B129" s="2">
        <v>9749</v>
      </c>
      <c r="C129" s="2">
        <v>12439</v>
      </c>
      <c r="D129" s="2">
        <v>4574</v>
      </c>
      <c r="E129" s="2">
        <v>20162</v>
      </c>
      <c r="F129" s="2">
        <f>59065+12985+12853</f>
        <v>84903</v>
      </c>
      <c r="G129" s="2">
        <f>29592+11925</f>
        <v>41517</v>
      </c>
      <c r="H129" s="2">
        <v>43572</v>
      </c>
      <c r="I129" s="2">
        <v>32463</v>
      </c>
      <c r="J129" s="2">
        <f>74862+1337</f>
        <v>76199</v>
      </c>
      <c r="K129" s="2">
        <v>41393</v>
      </c>
      <c r="L129" s="2">
        <v>92752</v>
      </c>
      <c r="M129" s="2">
        <f>100883+6095</f>
        <v>106978</v>
      </c>
      <c r="N129" s="2">
        <v>0</v>
      </c>
      <c r="O129" s="2">
        <v>0</v>
      </c>
      <c r="P129" s="4">
        <f t="shared" si="24"/>
        <v>566701</v>
      </c>
    </row>
    <row r="130" spans="1:16" ht="15.75">
      <c r="A130" s="13" t="s">
        <v>198</v>
      </c>
      <c r="B130" s="2">
        <v>13233</v>
      </c>
      <c r="C130" s="2">
        <v>16985</v>
      </c>
      <c r="D130" s="2">
        <v>5033</v>
      </c>
      <c r="E130" s="2">
        <v>43908</v>
      </c>
      <c r="F130" s="2">
        <f>63903+21835+21687</f>
        <v>107425</v>
      </c>
      <c r="G130" s="2">
        <f>36887+32307</f>
        <v>69194</v>
      </c>
      <c r="H130" s="2">
        <v>55467</v>
      </c>
      <c r="I130" s="2">
        <v>43447</v>
      </c>
      <c r="J130" s="2">
        <f>83152+4946</f>
        <v>88098</v>
      </c>
      <c r="K130" s="2">
        <v>95436</v>
      </c>
      <c r="L130" s="2">
        <v>126257</v>
      </c>
      <c r="M130" s="2">
        <f>136722+16636</f>
        <v>153358</v>
      </c>
      <c r="N130" s="2">
        <v>0</v>
      </c>
      <c r="O130" s="2">
        <v>0</v>
      </c>
      <c r="P130" s="4">
        <f t="shared" si="24"/>
        <v>817841</v>
      </c>
    </row>
    <row r="131" spans="1:16" ht="15.75">
      <c r="A131" s="13" t="s">
        <v>199</v>
      </c>
      <c r="B131" s="2">
        <v>13129</v>
      </c>
      <c r="C131" s="2">
        <v>18225</v>
      </c>
      <c r="D131" s="2">
        <v>4061</v>
      </c>
      <c r="E131" s="2">
        <v>25281</v>
      </c>
      <c r="F131" s="2">
        <f>7869+3387+3504</f>
        <v>14760</v>
      </c>
      <c r="G131" s="2">
        <f>32116+34451</f>
        <v>66567</v>
      </c>
      <c r="H131" s="2">
        <v>6272</v>
      </c>
      <c r="I131" s="2">
        <v>7494</v>
      </c>
      <c r="J131" s="2">
        <f>49637+17206</f>
        <v>66843</v>
      </c>
      <c r="K131" s="2">
        <v>49646</v>
      </c>
      <c r="L131" s="2">
        <f>93428</f>
        <v>93428</v>
      </c>
      <c r="M131" s="2">
        <f>76972+15182</f>
        <v>92154</v>
      </c>
      <c r="N131" s="2">
        <v>0</v>
      </c>
      <c r="O131" s="2">
        <v>0</v>
      </c>
      <c r="P131" s="4">
        <f t="shared" si="24"/>
        <v>457860</v>
      </c>
    </row>
    <row r="132" spans="1:16" ht="15.75">
      <c r="A132" s="13" t="s">
        <v>200</v>
      </c>
      <c r="B132" s="2">
        <v>11423</v>
      </c>
      <c r="C132" s="2">
        <v>15713</v>
      </c>
      <c r="D132" s="2">
        <v>3477</v>
      </c>
      <c r="E132" s="2">
        <v>16227</v>
      </c>
      <c r="F132" s="2">
        <f>6646+1166+2798</f>
        <v>10610</v>
      </c>
      <c r="G132" s="2">
        <f>27587+33221</f>
        <v>60808</v>
      </c>
      <c r="H132" s="2">
        <v>6810</v>
      </c>
      <c r="I132" s="2">
        <v>8548</v>
      </c>
      <c r="J132" s="2">
        <f>44711+706</f>
        <v>45417</v>
      </c>
      <c r="K132" s="2">
        <v>71688</v>
      </c>
      <c r="L132" s="2">
        <v>87425</v>
      </c>
      <c r="M132" s="2">
        <f>75503+15620</f>
        <v>91123</v>
      </c>
      <c r="N132" s="2">
        <v>0</v>
      </c>
      <c r="O132" s="2">
        <v>0</v>
      </c>
      <c r="P132" s="4">
        <f t="shared" si="24"/>
        <v>429269</v>
      </c>
    </row>
    <row r="133" spans="1:16" ht="15.75">
      <c r="A133" s="13" t="s">
        <v>201</v>
      </c>
      <c r="B133" s="2">
        <v>13600</v>
      </c>
      <c r="C133" s="2">
        <v>16966</v>
      </c>
      <c r="D133" s="2">
        <v>4472</v>
      </c>
      <c r="E133" s="2">
        <v>28051</v>
      </c>
      <c r="F133" s="2">
        <f>38821+11446+13849</f>
        <v>64116</v>
      </c>
      <c r="G133" s="2">
        <f>34151+26850</f>
        <v>61001</v>
      </c>
      <c r="H133" s="2">
        <f>65290</f>
        <v>65290</v>
      </c>
      <c r="I133" s="2">
        <v>69244</v>
      </c>
      <c r="J133" s="2">
        <v>69585</v>
      </c>
      <c r="K133" s="2">
        <v>68015</v>
      </c>
      <c r="L133" s="2">
        <v>84788</v>
      </c>
      <c r="M133" s="2">
        <f>120438+15545</f>
        <v>135983</v>
      </c>
      <c r="N133" s="2">
        <v>39344</v>
      </c>
      <c r="O133" s="2">
        <v>35689</v>
      </c>
      <c r="P133" s="4">
        <f t="shared" si="24"/>
        <v>756144</v>
      </c>
    </row>
    <row r="134" spans="1:16" ht="15.75">
      <c r="A134" s="13" t="s">
        <v>202</v>
      </c>
      <c r="B134" s="2">
        <v>11379</v>
      </c>
      <c r="C134" s="2">
        <v>14125</v>
      </c>
      <c r="D134" s="2">
        <v>4113</v>
      </c>
      <c r="E134" s="2">
        <v>25577</v>
      </c>
      <c r="F134" s="2">
        <f>46584+9603+11696</f>
        <v>67883</v>
      </c>
      <c r="G134" s="2">
        <f>33856+13235</f>
        <v>47091</v>
      </c>
      <c r="H134" s="2">
        <v>40630</v>
      </c>
      <c r="I134" s="2">
        <v>66892</v>
      </c>
      <c r="J134" s="2">
        <f>75939</f>
        <v>75939</v>
      </c>
      <c r="K134" s="2">
        <v>52168</v>
      </c>
      <c r="L134" s="2">
        <v>86180</v>
      </c>
      <c r="M134" s="2">
        <f>92336+6648</f>
        <v>98984</v>
      </c>
      <c r="N134" s="2">
        <v>40011</v>
      </c>
      <c r="O134" s="2">
        <v>51788</v>
      </c>
      <c r="P134" s="4">
        <f t="shared" si="24"/>
        <v>682760</v>
      </c>
    </row>
    <row r="135" spans="1:16" ht="15.75">
      <c r="A135" s="13" t="s">
        <v>203</v>
      </c>
      <c r="B135" s="2">
        <v>9355</v>
      </c>
      <c r="C135" s="2">
        <v>10169</v>
      </c>
      <c r="D135" s="2">
        <v>3717</v>
      </c>
      <c r="E135" s="2">
        <v>19526</v>
      </c>
      <c r="F135" s="2">
        <f>46541+2280+3991</f>
        <v>52812</v>
      </c>
      <c r="G135" s="2">
        <f>26367+3563</f>
        <v>29930</v>
      </c>
      <c r="H135" s="2">
        <v>38598</v>
      </c>
      <c r="I135" s="2">
        <v>49883</v>
      </c>
      <c r="J135" s="2">
        <v>73874</v>
      </c>
      <c r="K135" s="2">
        <v>46050</v>
      </c>
      <c r="L135" s="2">
        <v>74824</v>
      </c>
      <c r="M135" s="2">
        <f>82598+2565</f>
        <v>85163</v>
      </c>
      <c r="N135" s="2">
        <v>43343</v>
      </c>
      <c r="O135" s="2">
        <v>53736</v>
      </c>
      <c r="P135" s="4">
        <f t="shared" si="24"/>
        <v>590980</v>
      </c>
    </row>
    <row r="136" spans="1:16" ht="15.75">
      <c r="A136" s="13" t="s">
        <v>204</v>
      </c>
      <c r="B136" s="2">
        <v>10137</v>
      </c>
      <c r="C136" s="2">
        <v>10024</v>
      </c>
      <c r="D136" s="2">
        <v>4110</v>
      </c>
      <c r="E136" s="2">
        <v>18558</v>
      </c>
      <c r="F136" s="2">
        <f>49064+374+2117</f>
        <v>51555</v>
      </c>
      <c r="G136" s="2">
        <f>31760+1557</f>
        <v>33317</v>
      </c>
      <c r="H136" s="2">
        <v>38445</v>
      </c>
      <c r="I136" s="2">
        <v>48989</v>
      </c>
      <c r="J136" s="2">
        <v>78114</v>
      </c>
      <c r="K136" s="2">
        <v>51065</v>
      </c>
      <c r="L136" s="2">
        <v>74729</v>
      </c>
      <c r="M136" s="2">
        <f>91996+1495</f>
        <v>93491</v>
      </c>
      <c r="N136" s="2">
        <v>36598</v>
      </c>
      <c r="O136" s="2">
        <v>45348</v>
      </c>
      <c r="P136" s="4">
        <f t="shared" si="24"/>
        <v>594480</v>
      </c>
    </row>
    <row r="137" spans="1:16" ht="15.75">
      <c r="A137" s="52" t="s">
        <v>74</v>
      </c>
      <c r="B137" s="53">
        <f aca="true" t="shared" si="25" ref="B137:M137">SUM(B125:B136)</f>
        <v>122116</v>
      </c>
      <c r="C137" s="53">
        <f t="shared" si="25"/>
        <v>147878</v>
      </c>
      <c r="D137" s="53">
        <f t="shared" si="25"/>
        <v>49165</v>
      </c>
      <c r="E137" s="53">
        <f t="shared" si="25"/>
        <v>260885</v>
      </c>
      <c r="F137" s="53">
        <f t="shared" si="25"/>
        <v>668025</v>
      </c>
      <c r="G137" s="53">
        <f t="shared" si="25"/>
        <v>534552</v>
      </c>
      <c r="H137" s="53">
        <f t="shared" si="25"/>
        <v>413807</v>
      </c>
      <c r="I137" s="53">
        <f t="shared" si="25"/>
        <v>439075</v>
      </c>
      <c r="J137" s="53">
        <f t="shared" si="25"/>
        <v>832402</v>
      </c>
      <c r="K137" s="53">
        <f t="shared" si="25"/>
        <v>648586</v>
      </c>
      <c r="L137" s="53">
        <f t="shared" si="25"/>
        <v>1006050</v>
      </c>
      <c r="M137" s="53">
        <f t="shared" si="25"/>
        <v>1167541</v>
      </c>
      <c r="N137" s="53">
        <f>SUM(N125:N136)</f>
        <v>159296</v>
      </c>
      <c r="O137" s="53">
        <f>SUM(O125:O136)</f>
        <v>186561</v>
      </c>
      <c r="P137" s="53">
        <f>SUM(P125:P136)</f>
        <v>6635939</v>
      </c>
    </row>
    <row r="138" spans="1:16" ht="15.75">
      <c r="A138" s="18" t="s">
        <v>71</v>
      </c>
      <c r="B138" s="39">
        <f aca="true" t="shared" si="26" ref="B138:M139">B137/12</f>
        <v>10176.333333333334</v>
      </c>
      <c r="C138" s="39">
        <f t="shared" si="26"/>
        <v>12323.166666666666</v>
      </c>
      <c r="D138" s="39">
        <f t="shared" si="26"/>
        <v>4097.083333333333</v>
      </c>
      <c r="E138" s="39">
        <f t="shared" si="26"/>
        <v>21740.416666666668</v>
      </c>
      <c r="F138" s="39">
        <f t="shared" si="26"/>
        <v>55668.75</v>
      </c>
      <c r="G138" s="39">
        <f t="shared" si="26"/>
        <v>44546</v>
      </c>
      <c r="H138" s="39">
        <f t="shared" si="26"/>
        <v>34483.916666666664</v>
      </c>
      <c r="I138" s="39">
        <f t="shared" si="26"/>
        <v>36589.583333333336</v>
      </c>
      <c r="J138" s="39">
        <f t="shared" si="26"/>
        <v>69366.83333333333</v>
      </c>
      <c r="K138" s="39">
        <f t="shared" si="26"/>
        <v>54048.833333333336</v>
      </c>
      <c r="L138" s="39">
        <f t="shared" si="26"/>
        <v>83837.5</v>
      </c>
      <c r="M138" s="39">
        <f t="shared" si="26"/>
        <v>97295.08333333333</v>
      </c>
      <c r="N138" s="39">
        <f>N137/4</f>
        <v>39824</v>
      </c>
      <c r="O138" s="39">
        <f>O137/4</f>
        <v>46640.25</v>
      </c>
      <c r="P138" s="39">
        <f>P137/12</f>
        <v>552994.9166666666</v>
      </c>
    </row>
    <row r="139" spans="1:16" ht="15.75">
      <c r="A139" s="46" t="s">
        <v>135</v>
      </c>
      <c r="B139" s="39">
        <f t="shared" si="26"/>
        <v>848.0277777777778</v>
      </c>
      <c r="C139" s="39">
        <f t="shared" si="26"/>
        <v>1026.9305555555554</v>
      </c>
      <c r="D139" s="39">
        <f t="shared" si="26"/>
        <v>341.4236111111111</v>
      </c>
      <c r="E139" s="39">
        <f t="shared" si="26"/>
        <v>1811.701388888889</v>
      </c>
      <c r="F139" s="39">
        <f t="shared" si="26"/>
        <v>4639.0625</v>
      </c>
      <c r="G139" s="39">
        <f t="shared" si="26"/>
        <v>3712.1666666666665</v>
      </c>
      <c r="H139" s="39">
        <f t="shared" si="26"/>
        <v>2873.659722222222</v>
      </c>
      <c r="I139" s="39">
        <f t="shared" si="26"/>
        <v>3049.131944444445</v>
      </c>
      <c r="J139" s="39">
        <f t="shared" si="26"/>
        <v>5780.569444444444</v>
      </c>
      <c r="K139" s="39">
        <f t="shared" si="26"/>
        <v>4504.069444444444</v>
      </c>
      <c r="L139" s="39">
        <f t="shared" si="26"/>
        <v>6986.458333333333</v>
      </c>
      <c r="M139" s="39">
        <f t="shared" si="26"/>
        <v>8107.92361111111</v>
      </c>
      <c r="N139" s="39">
        <f>N138/12</f>
        <v>3318.6666666666665</v>
      </c>
      <c r="O139" s="39">
        <f>O138/498</f>
        <v>93.65512048192771</v>
      </c>
      <c r="P139" s="42">
        <f>P138/6079</f>
        <v>90.96807314799582</v>
      </c>
    </row>
    <row r="140" spans="1:16" ht="15.75">
      <c r="A140" s="47" t="s">
        <v>142</v>
      </c>
      <c r="B140" s="39">
        <f aca="true" t="shared" si="27" ref="B140:O140">B139*12/2.5</f>
        <v>4070.5333333333338</v>
      </c>
      <c r="C140" s="39">
        <f t="shared" si="27"/>
        <v>4929.2666666666655</v>
      </c>
      <c r="D140" s="39">
        <f t="shared" si="27"/>
        <v>1638.8333333333333</v>
      </c>
      <c r="E140" s="39">
        <f t="shared" si="27"/>
        <v>8696.166666666668</v>
      </c>
      <c r="F140" s="39">
        <f t="shared" si="27"/>
        <v>22267.5</v>
      </c>
      <c r="G140" s="39">
        <f t="shared" si="27"/>
        <v>17818.4</v>
      </c>
      <c r="H140" s="39">
        <f t="shared" si="27"/>
        <v>13793.566666666666</v>
      </c>
      <c r="I140" s="39">
        <f t="shared" si="27"/>
        <v>14635.833333333334</v>
      </c>
      <c r="J140" s="39">
        <f t="shared" si="27"/>
        <v>27746.73333333333</v>
      </c>
      <c r="K140" s="39">
        <f t="shared" si="27"/>
        <v>21619.533333333333</v>
      </c>
      <c r="L140" s="39">
        <f t="shared" si="27"/>
        <v>33535</v>
      </c>
      <c r="M140" s="39">
        <f t="shared" si="27"/>
        <v>38918.03333333333</v>
      </c>
      <c r="N140" s="39">
        <f t="shared" si="27"/>
        <v>15929.6</v>
      </c>
      <c r="O140" s="39">
        <f t="shared" si="27"/>
        <v>449.544578313253</v>
      </c>
      <c r="P140" s="39">
        <f>P139*12/2.5</f>
        <v>436.64675111037997</v>
      </c>
    </row>
    <row r="141" spans="1:16" ht="15.75">
      <c r="A141" s="6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</row>
    <row r="142" spans="1:16" ht="15.75">
      <c r="A142" s="6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1:16" ht="15.75">
      <c r="A143" s="6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1:16" ht="15.75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1:16" ht="15.75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1:16" ht="15.75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1:16" ht="15.75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1:16" ht="15.75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1:16" ht="15.7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1:16" ht="15.7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1:16" ht="15.75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1:16" ht="15.75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1:16" ht="15.75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1:16" ht="15.75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1:16" ht="15.75">
      <c r="A155" s="119" t="s">
        <v>302</v>
      </c>
      <c r="B155" s="119"/>
      <c r="C155" s="119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1:16" ht="15.75">
      <c r="A156" s="34"/>
      <c r="B156" s="34"/>
      <c r="C156" s="34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1:16" ht="15.75">
      <c r="A157" s="2" t="s">
        <v>18</v>
      </c>
      <c r="B157" s="16" t="s">
        <v>0</v>
      </c>
      <c r="C157" s="16" t="s">
        <v>1</v>
      </c>
      <c r="D157" s="16" t="s">
        <v>2</v>
      </c>
      <c r="E157" s="16" t="s">
        <v>3</v>
      </c>
      <c r="F157" s="16" t="s">
        <v>70</v>
      </c>
      <c r="G157" s="16" t="s">
        <v>6</v>
      </c>
      <c r="H157" s="16" t="s">
        <v>7</v>
      </c>
      <c r="I157" s="16" t="s">
        <v>8</v>
      </c>
      <c r="J157" s="16" t="s">
        <v>300</v>
      </c>
      <c r="K157" s="16" t="s">
        <v>11</v>
      </c>
      <c r="L157" s="16" t="s">
        <v>13</v>
      </c>
      <c r="M157" s="56" t="s">
        <v>192</v>
      </c>
      <c r="N157" s="2" t="s">
        <v>217</v>
      </c>
      <c r="O157" s="2" t="s">
        <v>218</v>
      </c>
      <c r="P157" s="3" t="s">
        <v>134</v>
      </c>
    </row>
    <row r="158" spans="1:16" ht="15.75">
      <c r="A158" s="13" t="s">
        <v>219</v>
      </c>
      <c r="B158" s="2">
        <v>5867</v>
      </c>
      <c r="C158" s="2">
        <v>5971</v>
      </c>
      <c r="D158" s="2">
        <v>2751</v>
      </c>
      <c r="E158" s="2">
        <v>16410</v>
      </c>
      <c r="F158" s="2">
        <f>15659+412+1511</f>
        <v>17582</v>
      </c>
      <c r="G158" s="2">
        <f>18996+1030</f>
        <v>20026</v>
      </c>
      <c r="H158" s="2">
        <v>19719</v>
      </c>
      <c r="I158" s="2">
        <v>25633</v>
      </c>
      <c r="J158" s="2">
        <v>46977</v>
      </c>
      <c r="K158" s="2">
        <v>33071</v>
      </c>
      <c r="L158" s="2">
        <v>41196</v>
      </c>
      <c r="M158" s="2">
        <f>63979+1373</f>
        <v>65352</v>
      </c>
      <c r="N158" s="2">
        <v>26566</v>
      </c>
      <c r="O158" s="2">
        <v>29398</v>
      </c>
      <c r="P158" s="4">
        <f>SUM(B158:O158)</f>
        <v>356519</v>
      </c>
    </row>
    <row r="159" spans="1:16" ht="15.75">
      <c r="A159" s="13" t="s">
        <v>220</v>
      </c>
      <c r="B159" s="2">
        <v>7588</v>
      </c>
      <c r="C159" s="2">
        <v>8809</v>
      </c>
      <c r="D159" s="2">
        <v>3435</v>
      </c>
      <c r="E159" s="2">
        <v>3752</v>
      </c>
      <c r="F159" s="2">
        <f>12965+417+1945</f>
        <v>15327</v>
      </c>
      <c r="G159" s="2">
        <f>26171+1737</f>
        <v>27908</v>
      </c>
      <c r="H159" s="2">
        <v>23409</v>
      </c>
      <c r="I159" s="2">
        <v>33119</v>
      </c>
      <c r="J159" s="2">
        <v>48980</v>
      </c>
      <c r="K159" s="2">
        <v>37288</v>
      </c>
      <c r="L159" s="2">
        <v>48637</v>
      </c>
      <c r="M159" s="2">
        <f>60007+2501</f>
        <v>62508</v>
      </c>
      <c r="N159" s="2">
        <v>35466</v>
      </c>
      <c r="O159" s="2">
        <v>48272</v>
      </c>
      <c r="P159" s="4">
        <f aca="true" t="shared" si="28" ref="P159:P169">SUM(B159:O159)</f>
        <v>404498</v>
      </c>
    </row>
    <row r="160" spans="1:16" ht="15.75">
      <c r="A160" s="13" t="s">
        <v>221</v>
      </c>
      <c r="B160" s="2">
        <v>7398</v>
      </c>
      <c r="C160" s="2">
        <v>8286</v>
      </c>
      <c r="D160" s="2">
        <v>3992</v>
      </c>
      <c r="E160" s="2">
        <v>14693</v>
      </c>
      <c r="F160" s="2">
        <f>17115+770+2642</f>
        <v>20527</v>
      </c>
      <c r="G160" s="2">
        <f>27332+1651</f>
        <v>28983</v>
      </c>
      <c r="H160" s="2">
        <f>31126</f>
        <v>31126</v>
      </c>
      <c r="I160" s="2">
        <v>41916</v>
      </c>
      <c r="J160" s="2">
        <v>66177</v>
      </c>
      <c r="K160" s="2">
        <v>39623</v>
      </c>
      <c r="L160" s="2">
        <v>66038</v>
      </c>
      <c r="M160" s="2">
        <f>75043</f>
        <v>75043</v>
      </c>
      <c r="N160" s="2">
        <v>39132</v>
      </c>
      <c r="O160" s="2">
        <v>50782</v>
      </c>
      <c r="P160" s="4">
        <f t="shared" si="28"/>
        <v>493716</v>
      </c>
    </row>
    <row r="161" spans="1:16" ht="15.75">
      <c r="A161" s="13" t="s">
        <v>222</v>
      </c>
      <c r="B161" s="2">
        <v>8308</v>
      </c>
      <c r="C161" s="2">
        <v>10386</v>
      </c>
      <c r="D161" s="2">
        <v>4060</v>
      </c>
      <c r="E161" s="2">
        <v>19568</v>
      </c>
      <c r="F161" s="2">
        <f>18661+4534+6667</f>
        <v>29862</v>
      </c>
      <c r="G161" s="2">
        <f>27335+3667</f>
        <v>31002</v>
      </c>
      <c r="H161" s="2">
        <f>37714</f>
        <v>37714</v>
      </c>
      <c r="I161" s="2">
        <v>48892</v>
      </c>
      <c r="J161" s="2">
        <v>69806</v>
      </c>
      <c r="K161" s="2">
        <v>40891</v>
      </c>
      <c r="L161" s="2">
        <v>73338</v>
      </c>
      <c r="M161" s="2">
        <f>84854+1333</f>
        <v>86187</v>
      </c>
      <c r="N161" s="2">
        <v>44693</v>
      </c>
      <c r="O161" s="2">
        <v>55001</v>
      </c>
      <c r="P161" s="4">
        <f t="shared" si="28"/>
        <v>559708</v>
      </c>
    </row>
    <row r="162" spans="1:16" ht="15.75">
      <c r="A162" s="13" t="s">
        <v>223</v>
      </c>
      <c r="B162" s="2">
        <v>9111</v>
      </c>
      <c r="C162" s="2">
        <v>11356</v>
      </c>
      <c r="D162" s="2">
        <v>2875</v>
      </c>
      <c r="E162" s="2">
        <v>18885</v>
      </c>
      <c r="F162" s="2">
        <f>16790+10819+12419</f>
        <v>40028</v>
      </c>
      <c r="G162" s="2">
        <f>25820+12163</f>
        <v>37983</v>
      </c>
      <c r="H162" s="2">
        <v>41958</v>
      </c>
      <c r="I162" s="2">
        <v>53678</v>
      </c>
      <c r="J162" s="2">
        <f>64041+6201</f>
        <v>70242</v>
      </c>
      <c r="K162" s="2">
        <v>47639</v>
      </c>
      <c r="L162" s="2">
        <v>83221</v>
      </c>
      <c r="M162" s="2">
        <f>77111+5633</f>
        <v>82744</v>
      </c>
      <c r="N162" s="2">
        <v>38600</v>
      </c>
      <c r="O162" s="2">
        <v>55408</v>
      </c>
      <c r="P162" s="4">
        <f t="shared" si="28"/>
        <v>593728</v>
      </c>
    </row>
    <row r="163" spans="1:16" ht="15.75">
      <c r="A163" s="13" t="s">
        <v>224</v>
      </c>
      <c r="B163" s="2">
        <v>13540</v>
      </c>
      <c r="C163" s="2">
        <v>17183</v>
      </c>
      <c r="D163" s="2">
        <v>3564</v>
      </c>
      <c r="E163" s="2">
        <v>24740</v>
      </c>
      <c r="F163" s="2">
        <f>28315+17370+21640</f>
        <v>67325</v>
      </c>
      <c r="G163" s="2">
        <f>31972+32167</f>
        <v>64139</v>
      </c>
      <c r="H163" s="2">
        <v>56491</v>
      </c>
      <c r="I163" s="2">
        <v>74560</v>
      </c>
      <c r="J163" s="2">
        <f>75000+5902</f>
        <v>80902</v>
      </c>
      <c r="K163" s="2">
        <v>75204</v>
      </c>
      <c r="L163" s="2">
        <v>111124</v>
      </c>
      <c r="M163" s="2">
        <f>118302+17546</f>
        <v>135848</v>
      </c>
      <c r="N163" s="2">
        <v>58870</v>
      </c>
      <c r="O163" s="2">
        <v>77244</v>
      </c>
      <c r="P163" s="4">
        <f t="shared" si="28"/>
        <v>860734</v>
      </c>
    </row>
    <row r="164" spans="1:16" ht="15.75">
      <c r="A164" s="13" t="s">
        <v>225</v>
      </c>
      <c r="B164" s="2">
        <v>17235</v>
      </c>
      <c r="C164" s="2">
        <v>22274</v>
      </c>
      <c r="D164" s="2">
        <v>3931</v>
      </c>
      <c r="E164" s="2">
        <v>17454</v>
      </c>
      <c r="F164" s="2">
        <f>11768+3406+11778</f>
        <v>26952</v>
      </c>
      <c r="G164" s="2">
        <f>31928+46473</f>
        <v>78401</v>
      </c>
      <c r="H164" s="2">
        <v>35654</v>
      </c>
      <c r="I164" s="2">
        <v>67759</v>
      </c>
      <c r="J164" s="2">
        <f>40454+2577</f>
        <v>43031</v>
      </c>
      <c r="K164" s="2">
        <f>94602</f>
        <v>94602</v>
      </c>
      <c r="L164" s="2">
        <v>53214</v>
      </c>
      <c r="M164" s="2">
        <f>61276+25826</f>
        <v>87102</v>
      </c>
      <c r="N164" s="2">
        <v>56093</v>
      </c>
      <c r="O164" s="2">
        <v>89199</v>
      </c>
      <c r="P164" s="4">
        <f t="shared" si="28"/>
        <v>692901</v>
      </c>
    </row>
    <row r="165" spans="1:16" ht="15.75">
      <c r="A165" s="13" t="s">
        <v>226</v>
      </c>
      <c r="B165" s="2">
        <v>12702</v>
      </c>
      <c r="C165" s="2">
        <v>16945</v>
      </c>
      <c r="D165" s="2">
        <v>3384</v>
      </c>
      <c r="E165" s="2">
        <v>16664</v>
      </c>
      <c r="F165" s="2">
        <f>9179+379+9233</f>
        <v>18791</v>
      </c>
      <c r="G165" s="2">
        <f>28670+33835</f>
        <v>62505</v>
      </c>
      <c r="H165" s="2">
        <v>32256</v>
      </c>
      <c r="I165" s="2">
        <v>60713</v>
      </c>
      <c r="J165" s="2">
        <f>33961+152+4467</f>
        <v>38580</v>
      </c>
      <c r="K165" s="2">
        <v>76524</v>
      </c>
      <c r="L165" s="2">
        <v>34783</v>
      </c>
      <c r="M165" s="2">
        <f>80491+18214</f>
        <v>98705</v>
      </c>
      <c r="N165" s="2">
        <v>48421</v>
      </c>
      <c r="O165" s="2">
        <v>72538</v>
      </c>
      <c r="P165" s="4">
        <f t="shared" si="28"/>
        <v>593511</v>
      </c>
    </row>
    <row r="166" spans="1:16" ht="15.75">
      <c r="A166" s="13" t="s">
        <v>227</v>
      </c>
      <c r="B166" s="2">
        <v>12190</v>
      </c>
      <c r="C166" s="2">
        <v>17100</v>
      </c>
      <c r="D166" s="2">
        <v>3481</v>
      </c>
      <c r="E166" s="2">
        <v>25127</v>
      </c>
      <c r="F166" s="2">
        <f>24603+11273+18868</f>
        <v>54744</v>
      </c>
      <c r="G166" s="2">
        <f>31644+31743</f>
        <v>63387</v>
      </c>
      <c r="H166" s="2">
        <v>49149</v>
      </c>
      <c r="I166" s="2">
        <v>72287</v>
      </c>
      <c r="J166" s="2">
        <f>57817+32633+9579</f>
        <v>100029</v>
      </c>
      <c r="K166" s="2">
        <v>77824</v>
      </c>
      <c r="L166" s="2">
        <v>88998</v>
      </c>
      <c r="M166" s="2">
        <f>104281+21360</f>
        <v>125641</v>
      </c>
      <c r="N166" s="2">
        <f>57513</f>
        <v>57513</v>
      </c>
      <c r="O166" s="2">
        <v>77192</v>
      </c>
      <c r="P166" s="4">
        <f t="shared" si="28"/>
        <v>824662</v>
      </c>
    </row>
    <row r="167" spans="1:16" ht="15.75">
      <c r="A167" s="13" t="s">
        <v>228</v>
      </c>
      <c r="B167" s="2">
        <v>9410</v>
      </c>
      <c r="C167" s="2">
        <v>12931</v>
      </c>
      <c r="D167" s="2">
        <v>2024</v>
      </c>
      <c r="E167" s="2">
        <v>17527</v>
      </c>
      <c r="F167" s="2">
        <f>29632+1956+5566</f>
        <v>37154</v>
      </c>
      <c r="G167" s="2">
        <f>29086+4889</f>
        <v>33975</v>
      </c>
      <c r="H167" s="2">
        <v>37091</v>
      </c>
      <c r="I167" s="2">
        <v>48894</v>
      </c>
      <c r="J167" s="2">
        <f>59102+8274+1518</f>
        <v>68894</v>
      </c>
      <c r="K167" s="2">
        <v>41121</v>
      </c>
      <c r="L167" s="2">
        <v>71461</v>
      </c>
      <c r="M167" s="2">
        <f>86619+3310</f>
        <v>89929</v>
      </c>
      <c r="N167" s="2">
        <v>41880</v>
      </c>
      <c r="O167" s="2">
        <v>55603</v>
      </c>
      <c r="P167" s="4">
        <f t="shared" si="28"/>
        <v>567894</v>
      </c>
    </row>
    <row r="168" spans="1:16" ht="15.75">
      <c r="A168" s="13" t="s">
        <v>229</v>
      </c>
      <c r="B168" s="2">
        <v>6765</v>
      </c>
      <c r="C168" s="2">
        <v>9603</v>
      </c>
      <c r="D168" s="2">
        <v>5024</v>
      </c>
      <c r="E168" s="2">
        <v>13254</v>
      </c>
      <c r="F168" s="2">
        <f>27612+1015+3425</f>
        <v>32052</v>
      </c>
      <c r="G168" s="2">
        <f>28115+3488</f>
        <v>31603</v>
      </c>
      <c r="H168" s="2">
        <f>32613</f>
        <v>32613</v>
      </c>
      <c r="I168" s="2">
        <v>45449</v>
      </c>
      <c r="J168" s="2">
        <f>59205+4439+1792</f>
        <v>65436</v>
      </c>
      <c r="K168" s="2">
        <f>39742</f>
        <v>39742</v>
      </c>
      <c r="L168" s="2">
        <v>66588</v>
      </c>
      <c r="M168" s="2">
        <f>73026+1776</f>
        <v>74802</v>
      </c>
      <c r="N168" s="2">
        <f>41883</f>
        <v>41883</v>
      </c>
      <c r="O168" s="2">
        <v>57634</v>
      </c>
      <c r="P168" s="4">
        <f t="shared" si="28"/>
        <v>522448</v>
      </c>
    </row>
    <row r="169" spans="1:16" ht="15.75">
      <c r="A169" s="13" t="s">
        <v>230</v>
      </c>
      <c r="B169" s="2">
        <v>7782</v>
      </c>
      <c r="C169" s="2">
        <v>10795</v>
      </c>
      <c r="D169" s="2">
        <v>4412</v>
      </c>
      <c r="E169" s="2">
        <v>10434</v>
      </c>
      <c r="F169" s="2">
        <f>28936+399+2525</f>
        <v>31860</v>
      </c>
      <c r="G169" s="2">
        <f>31457+2658</f>
        <v>34115</v>
      </c>
      <c r="H169" s="2">
        <v>32406</v>
      </c>
      <c r="I169" s="2">
        <v>44971</v>
      </c>
      <c r="J169" s="2">
        <f>59863+1994+268</f>
        <v>62125</v>
      </c>
      <c r="K169" s="2">
        <v>46189</v>
      </c>
      <c r="L169" s="2">
        <f>69782</f>
        <v>69782</v>
      </c>
      <c r="M169" s="2">
        <f>84585+1063</f>
        <v>85648</v>
      </c>
      <c r="N169" s="2">
        <v>47757</v>
      </c>
      <c r="O169" s="2">
        <v>63585</v>
      </c>
      <c r="P169" s="4">
        <f t="shared" si="28"/>
        <v>551861</v>
      </c>
    </row>
    <row r="170" spans="1:16" ht="15.75">
      <c r="A170" s="70" t="s">
        <v>74</v>
      </c>
      <c r="B170" s="53">
        <f>SUM(B158:B169)</f>
        <v>117896</v>
      </c>
      <c r="C170" s="53">
        <f aca="true" t="shared" si="29" ref="C170:O170">SUM(C158:C169)</f>
        <v>151639</v>
      </c>
      <c r="D170" s="53">
        <f t="shared" si="29"/>
        <v>42933</v>
      </c>
      <c r="E170" s="53">
        <f t="shared" si="29"/>
        <v>198508</v>
      </c>
      <c r="F170" s="53">
        <f t="shared" si="29"/>
        <v>392204</v>
      </c>
      <c r="G170" s="53">
        <f t="shared" si="29"/>
        <v>514027</v>
      </c>
      <c r="H170" s="53">
        <f t="shared" si="29"/>
        <v>429586</v>
      </c>
      <c r="I170" s="53">
        <f t="shared" si="29"/>
        <v>617871</v>
      </c>
      <c r="J170" s="53">
        <f t="shared" si="29"/>
        <v>761179</v>
      </c>
      <c r="K170" s="53">
        <f t="shared" si="29"/>
        <v>649718</v>
      </c>
      <c r="L170" s="53">
        <f t="shared" si="29"/>
        <v>808380</v>
      </c>
      <c r="M170" s="53">
        <f t="shared" si="29"/>
        <v>1069509</v>
      </c>
      <c r="N170" s="53">
        <f t="shared" si="29"/>
        <v>536874</v>
      </c>
      <c r="O170" s="53">
        <f t="shared" si="29"/>
        <v>731856</v>
      </c>
      <c r="P170" s="53">
        <f>SUM(P158:P169)</f>
        <v>7022180</v>
      </c>
    </row>
    <row r="171" spans="1:21" ht="25.5" customHeight="1">
      <c r="A171" s="88" t="s">
        <v>295</v>
      </c>
      <c r="B171" s="85">
        <f aca="true" t="shared" si="30" ref="B171:P171">B170/12</f>
        <v>9824.666666666666</v>
      </c>
      <c r="C171" s="85">
        <f t="shared" si="30"/>
        <v>12636.583333333334</v>
      </c>
      <c r="D171" s="85">
        <f t="shared" si="30"/>
        <v>3577.75</v>
      </c>
      <c r="E171" s="85">
        <f t="shared" si="30"/>
        <v>16542.333333333332</v>
      </c>
      <c r="F171" s="85">
        <f t="shared" si="30"/>
        <v>32683.666666666668</v>
      </c>
      <c r="G171" s="85">
        <f t="shared" si="30"/>
        <v>42835.583333333336</v>
      </c>
      <c r="H171" s="85">
        <f t="shared" si="30"/>
        <v>35798.833333333336</v>
      </c>
      <c r="I171" s="85">
        <f t="shared" si="30"/>
        <v>51489.25</v>
      </c>
      <c r="J171" s="85">
        <f t="shared" si="30"/>
        <v>63431.583333333336</v>
      </c>
      <c r="K171" s="85">
        <f t="shared" si="30"/>
        <v>54143.166666666664</v>
      </c>
      <c r="L171" s="85">
        <f t="shared" si="30"/>
        <v>67365</v>
      </c>
      <c r="M171" s="85">
        <f t="shared" si="30"/>
        <v>89125.75</v>
      </c>
      <c r="N171" s="85">
        <f t="shared" si="30"/>
        <v>44739.5</v>
      </c>
      <c r="O171" s="85">
        <f t="shared" si="30"/>
        <v>60988</v>
      </c>
      <c r="P171" s="77">
        <f t="shared" si="30"/>
        <v>585181.6666666666</v>
      </c>
      <c r="Q171" s="83"/>
      <c r="R171" s="83"/>
      <c r="S171" s="83"/>
      <c r="T171" s="83"/>
      <c r="U171" s="84"/>
    </row>
    <row r="172" spans="1:21" ht="25.5" customHeight="1">
      <c r="A172" s="82" t="s">
        <v>297</v>
      </c>
      <c r="B172" s="86">
        <f>B171/83</f>
        <v>118.36947791164658</v>
      </c>
      <c r="C172" s="86">
        <f>C171/121</f>
        <v>104.43457300275483</v>
      </c>
      <c r="D172" s="86">
        <f>D171/45</f>
        <v>79.50555555555556</v>
      </c>
      <c r="E172" s="86">
        <f>E171/199</f>
        <v>83.12730318257955</v>
      </c>
      <c r="F172" s="86">
        <f>F171/(300+357)</f>
        <v>49.74682902080163</v>
      </c>
      <c r="G172" s="86">
        <f>G171/372</f>
        <v>115.14941756272403</v>
      </c>
      <c r="H172" s="86">
        <f>H171/314</f>
        <v>114.00902335456476</v>
      </c>
      <c r="I172" s="86">
        <f>I171/(102+124+124)</f>
        <v>147.11214285714286</v>
      </c>
      <c r="J172" s="86">
        <f>J171/(297+285)</f>
        <v>108.98897479954181</v>
      </c>
      <c r="K172" s="86">
        <f>K171/448</f>
        <v>120.85528273809523</v>
      </c>
      <c r="L172" s="86">
        <f>L171/(232+310+232)</f>
        <v>87.03488372093024</v>
      </c>
      <c r="M172" s="86">
        <f>M171/(328+194+165+317)</f>
        <v>88.77066733067728</v>
      </c>
      <c r="N172" s="86">
        <f>N171/(124+124+120+96)</f>
        <v>96.42133620689656</v>
      </c>
      <c r="O172" s="86">
        <f>O171/(124+124+120+96)</f>
        <v>131.43965517241378</v>
      </c>
      <c r="P172" s="86">
        <f>P171/5877</f>
        <v>99.57149339232033</v>
      </c>
      <c r="Q172" s="83"/>
      <c r="R172" s="83"/>
      <c r="S172" s="83"/>
      <c r="T172" s="83"/>
      <c r="U172" s="84"/>
    </row>
    <row r="173" spans="1:21" ht="25.5" customHeight="1">
      <c r="A173" s="78" t="s">
        <v>299</v>
      </c>
      <c r="B173" s="86">
        <v>2.8</v>
      </c>
      <c r="C173" s="86">
        <v>2.8</v>
      </c>
      <c r="D173" s="86">
        <v>2.8</v>
      </c>
      <c r="E173" s="86">
        <v>2.8</v>
      </c>
      <c r="F173" s="86">
        <v>2.8</v>
      </c>
      <c r="G173" s="86">
        <v>2.8</v>
      </c>
      <c r="H173" s="86">
        <v>2.8</v>
      </c>
      <c r="I173" s="86">
        <v>2.8</v>
      </c>
      <c r="J173" s="86">
        <v>2.8</v>
      </c>
      <c r="K173" s="86">
        <v>2.8</v>
      </c>
      <c r="L173" s="86">
        <v>2.8</v>
      </c>
      <c r="M173" s="86">
        <v>2.8</v>
      </c>
      <c r="N173" s="86">
        <v>2.8</v>
      </c>
      <c r="O173" s="86">
        <v>2.8</v>
      </c>
      <c r="P173" s="86">
        <v>2.8</v>
      </c>
      <c r="Q173" s="83"/>
      <c r="R173" s="83"/>
      <c r="S173" s="83"/>
      <c r="T173" s="83"/>
      <c r="U173" s="84"/>
    </row>
    <row r="174" spans="1:21" ht="25.5" customHeight="1">
      <c r="A174" s="82" t="s">
        <v>298</v>
      </c>
      <c r="B174" s="86">
        <f>B172*B173</f>
        <v>331.4345381526104</v>
      </c>
      <c r="C174" s="86">
        <f aca="true" t="shared" si="31" ref="C174:P174">C172*C173</f>
        <v>292.4168044077135</v>
      </c>
      <c r="D174" s="86">
        <f t="shared" si="31"/>
        <v>222.61555555555555</v>
      </c>
      <c r="E174" s="86">
        <f t="shared" si="31"/>
        <v>232.75644891122272</v>
      </c>
      <c r="F174" s="86">
        <f t="shared" si="31"/>
        <v>139.29112125824454</v>
      </c>
      <c r="G174" s="86">
        <f t="shared" si="31"/>
        <v>322.4183691756273</v>
      </c>
      <c r="H174" s="86">
        <f t="shared" si="31"/>
        <v>319.2252653927813</v>
      </c>
      <c r="I174" s="86">
        <f t="shared" si="31"/>
        <v>411.914</v>
      </c>
      <c r="J174" s="86">
        <f t="shared" si="31"/>
        <v>305.16912943871705</v>
      </c>
      <c r="K174" s="86">
        <f t="shared" si="31"/>
        <v>338.3947916666666</v>
      </c>
      <c r="L174" s="86">
        <f t="shared" si="31"/>
        <v>243.69767441860466</v>
      </c>
      <c r="M174" s="86">
        <f t="shared" si="31"/>
        <v>248.55786852589637</v>
      </c>
      <c r="N174" s="86">
        <f t="shared" si="31"/>
        <v>269.9797413793103</v>
      </c>
      <c r="O174" s="86">
        <f t="shared" si="31"/>
        <v>368.03103448275857</v>
      </c>
      <c r="P174" s="86">
        <f t="shared" si="31"/>
        <v>278.8001814984969</v>
      </c>
      <c r="Q174" s="83"/>
      <c r="R174" s="83"/>
      <c r="S174" s="83"/>
      <c r="T174" s="83"/>
      <c r="U174" s="84"/>
    </row>
    <row r="175" spans="1:21" ht="25.5" customHeight="1">
      <c r="A175" s="79" t="s">
        <v>296</v>
      </c>
      <c r="B175" s="87">
        <f>B174*12/2.5</f>
        <v>1590.88578313253</v>
      </c>
      <c r="C175" s="87">
        <f aca="true" t="shared" si="32" ref="C175:P175">C174*12/2.5</f>
        <v>1403.6006611570251</v>
      </c>
      <c r="D175" s="87">
        <f t="shared" si="32"/>
        <v>1068.5546666666664</v>
      </c>
      <c r="E175" s="87">
        <f t="shared" si="32"/>
        <v>1117.2309547738691</v>
      </c>
      <c r="F175" s="87">
        <f t="shared" si="32"/>
        <v>668.5973820395739</v>
      </c>
      <c r="G175" s="87">
        <f t="shared" si="32"/>
        <v>1547.6081720430109</v>
      </c>
      <c r="H175" s="87">
        <f t="shared" si="32"/>
        <v>1532.2812738853504</v>
      </c>
      <c r="I175" s="87">
        <f t="shared" si="32"/>
        <v>1977.1871999999998</v>
      </c>
      <c r="J175" s="87">
        <f t="shared" si="32"/>
        <v>1464.811821305842</v>
      </c>
      <c r="K175" s="87">
        <f t="shared" si="32"/>
        <v>1624.2949999999996</v>
      </c>
      <c r="L175" s="87">
        <f t="shared" si="32"/>
        <v>1169.7488372093023</v>
      </c>
      <c r="M175" s="87">
        <f t="shared" si="32"/>
        <v>1193.0777689243027</v>
      </c>
      <c r="N175" s="87">
        <f t="shared" si="32"/>
        <v>1295.9027586206896</v>
      </c>
      <c r="O175" s="87">
        <f t="shared" si="32"/>
        <v>1766.5489655172412</v>
      </c>
      <c r="P175" s="95">
        <f t="shared" si="32"/>
        <v>1338.240871192785</v>
      </c>
      <c r="Q175" s="80"/>
      <c r="R175" s="80"/>
      <c r="S175" s="80"/>
      <c r="T175" s="80"/>
      <c r="U175" s="84"/>
    </row>
    <row r="179" spans="1:16" ht="15.75">
      <c r="A179" s="2" t="s">
        <v>18</v>
      </c>
      <c r="B179" s="16" t="s">
        <v>0</v>
      </c>
      <c r="C179" s="16" t="s">
        <v>1</v>
      </c>
      <c r="D179" s="16" t="s">
        <v>2</v>
      </c>
      <c r="E179" s="16" t="s">
        <v>3</v>
      </c>
      <c r="F179" s="16" t="s">
        <v>70</v>
      </c>
      <c r="G179" s="16" t="s">
        <v>6</v>
      </c>
      <c r="H179" s="16" t="s">
        <v>7</v>
      </c>
      <c r="I179" s="16" t="s">
        <v>8</v>
      </c>
      <c r="J179" s="16" t="s">
        <v>300</v>
      </c>
      <c r="K179" s="16" t="s">
        <v>11</v>
      </c>
      <c r="L179" s="16" t="s">
        <v>13</v>
      </c>
      <c r="M179" s="56" t="s">
        <v>192</v>
      </c>
      <c r="N179" s="2" t="s">
        <v>217</v>
      </c>
      <c r="O179" s="2" t="s">
        <v>218</v>
      </c>
      <c r="P179" s="3" t="s">
        <v>134</v>
      </c>
    </row>
    <row r="180" spans="1:16" ht="15.75">
      <c r="A180" s="13" t="s">
        <v>246</v>
      </c>
      <c r="B180" s="2">
        <v>7499</v>
      </c>
      <c r="C180" s="2">
        <v>9976</v>
      </c>
      <c r="D180" s="2">
        <v>4135</v>
      </c>
      <c r="E180" s="2">
        <v>22633</v>
      </c>
      <c r="F180" s="2">
        <f>22578+235+2119</f>
        <v>24932</v>
      </c>
      <c r="G180" s="2">
        <f>22956+1177</f>
        <v>24133</v>
      </c>
      <c r="H180" s="2">
        <f>23476</f>
        <v>23476</v>
      </c>
      <c r="I180" s="2">
        <v>35612</v>
      </c>
      <c r="J180" s="2">
        <f>47369+1766+119</f>
        <v>49254</v>
      </c>
      <c r="K180" s="2">
        <v>35023</v>
      </c>
      <c r="L180" s="2">
        <v>55919</v>
      </c>
      <c r="M180" s="2">
        <f>53511+1177</f>
        <v>54688</v>
      </c>
      <c r="N180" s="2">
        <v>44704</v>
      </c>
      <c r="O180" s="2">
        <v>58673</v>
      </c>
      <c r="P180" s="4">
        <f>SUM(B180:O180)</f>
        <v>450657</v>
      </c>
    </row>
    <row r="181" spans="1:16" ht="15.75">
      <c r="A181" s="13" t="s">
        <v>247</v>
      </c>
      <c r="B181" s="2">
        <v>3120</v>
      </c>
      <c r="C181" s="2">
        <v>4623</v>
      </c>
      <c r="D181" s="2">
        <v>1755</v>
      </c>
      <c r="E181" s="2">
        <f>23647</f>
        <v>23647</v>
      </c>
      <c r="F181" s="2">
        <f>12706+577+1442</f>
        <v>14725</v>
      </c>
      <c r="G181" s="2">
        <f>21148+2523</f>
        <v>23671</v>
      </c>
      <c r="H181" s="2">
        <v>14684</v>
      </c>
      <c r="I181" s="2">
        <v>20908</v>
      </c>
      <c r="J181" s="2">
        <f>28358+1442+728</f>
        <v>30528</v>
      </c>
      <c r="K181" s="2">
        <v>36288</v>
      </c>
      <c r="L181" s="2">
        <v>39653</v>
      </c>
      <c r="M181" s="2">
        <f>56803+1442</f>
        <v>58245</v>
      </c>
      <c r="N181" s="2">
        <v>22966</v>
      </c>
      <c r="O181" s="2">
        <v>35166</v>
      </c>
      <c r="P181" s="4">
        <f>SUM(B181:O181)</f>
        <v>329979</v>
      </c>
    </row>
    <row r="182" spans="1:16" ht="15.75">
      <c r="A182" s="13" t="s">
        <v>248</v>
      </c>
      <c r="B182" s="2">
        <v>8566</v>
      </c>
      <c r="C182" s="2">
        <v>10655</v>
      </c>
      <c r="D182" s="2">
        <v>4901</v>
      </c>
      <c r="E182" s="2">
        <v>25585</v>
      </c>
      <c r="F182" s="2">
        <f>31241+984+3075</f>
        <v>35300</v>
      </c>
      <c r="G182" s="2">
        <f>30751+3998</f>
        <v>34749</v>
      </c>
      <c r="H182" s="2">
        <v>34611</v>
      </c>
      <c r="I182" s="2">
        <v>47767</v>
      </c>
      <c r="J182" s="2">
        <f>65461+3075+745</f>
        <v>69281</v>
      </c>
      <c r="K182" s="2">
        <v>36696</v>
      </c>
      <c r="L182" s="2">
        <v>49202</v>
      </c>
      <c r="M182" s="2">
        <f>85731+1476</f>
        <v>87207</v>
      </c>
      <c r="N182" s="2">
        <v>47240</v>
      </c>
      <c r="O182" s="2">
        <v>61152</v>
      </c>
      <c r="P182" s="4">
        <f>SUM(B182:O182)</f>
        <v>552912</v>
      </c>
    </row>
    <row r="183" spans="1:16" ht="15.75">
      <c r="A183" s="13" t="s">
        <v>249</v>
      </c>
      <c r="B183" s="2">
        <v>7462</v>
      </c>
      <c r="C183" s="2">
        <v>9188</v>
      </c>
      <c r="D183" s="2">
        <v>3734</v>
      </c>
      <c r="E183" s="2">
        <v>21004</v>
      </c>
      <c r="F183" s="2">
        <f>27172+2834+4250</f>
        <v>34256</v>
      </c>
      <c r="G183" s="2">
        <f>25030+3896</f>
        <v>28926</v>
      </c>
      <c r="H183" s="2">
        <v>33555</v>
      </c>
      <c r="I183" s="2">
        <v>46164</v>
      </c>
      <c r="J183" s="2">
        <f>56213+5667+2430</f>
        <v>64310</v>
      </c>
      <c r="K183" s="2">
        <f>49351</f>
        <v>49351</v>
      </c>
      <c r="L183" s="2">
        <v>95633</v>
      </c>
      <c r="M183" s="2">
        <f>72986+1417</f>
        <v>74403</v>
      </c>
      <c r="N183" s="2">
        <v>39861</v>
      </c>
      <c r="O183" s="2">
        <v>52699</v>
      </c>
      <c r="P183" s="4">
        <f aca="true" t="shared" si="33" ref="P183:P191">SUM(B183:O183)</f>
        <v>560546</v>
      </c>
    </row>
    <row r="184" spans="1:16" ht="15.75">
      <c r="A184" s="13" t="s">
        <v>250</v>
      </c>
      <c r="B184" s="2">
        <v>9603</v>
      </c>
      <c r="C184" s="2">
        <v>12813</v>
      </c>
      <c r="D184" s="2">
        <v>3936</v>
      </c>
      <c r="E184" s="2">
        <v>11808</v>
      </c>
      <c r="F184" s="2">
        <f>29379+7935+10328</f>
        <v>47642</v>
      </c>
      <c r="G184" s="2">
        <f>25821+10077</f>
        <v>35898</v>
      </c>
      <c r="H184" s="2">
        <v>41664</v>
      </c>
      <c r="I184" s="2">
        <v>51852</v>
      </c>
      <c r="J184" s="2">
        <f>59655+11336+6736</f>
        <v>77727</v>
      </c>
      <c r="K184" s="2">
        <v>49753</v>
      </c>
      <c r="L184" s="2">
        <v>85021</v>
      </c>
      <c r="M184" s="2">
        <f>87788+6046</f>
        <v>93834</v>
      </c>
      <c r="N184" s="2">
        <v>42943</v>
      </c>
      <c r="O184" s="2">
        <v>60007</v>
      </c>
      <c r="P184" s="4">
        <f t="shared" si="33"/>
        <v>624501</v>
      </c>
    </row>
    <row r="185" spans="1:16" ht="15.75">
      <c r="A185" s="13" t="s">
        <v>251</v>
      </c>
      <c r="B185" s="2">
        <v>11246</v>
      </c>
      <c r="C185" s="2">
        <v>15468</v>
      </c>
      <c r="D185" s="2">
        <v>4252</v>
      </c>
      <c r="E185" s="2">
        <v>22052</v>
      </c>
      <c r="F185" s="2">
        <f>32605+13581+17727</f>
        <v>63913</v>
      </c>
      <c r="G185" s="2">
        <f>30022+21444</f>
        <v>51466</v>
      </c>
      <c r="H185" s="2">
        <v>53863</v>
      </c>
      <c r="I185" s="2">
        <v>69479</v>
      </c>
      <c r="J185" s="2">
        <f>66680+18585+11252</f>
        <v>96517</v>
      </c>
      <c r="K185" s="2">
        <v>72672</v>
      </c>
      <c r="L185" s="2">
        <v>107221</v>
      </c>
      <c r="M185" s="2">
        <f>103972+14296</f>
        <v>118268</v>
      </c>
      <c r="N185" s="2">
        <v>55356</v>
      </c>
      <c r="O185" s="2">
        <v>76090</v>
      </c>
      <c r="P185" s="4">
        <f t="shared" si="33"/>
        <v>817863</v>
      </c>
    </row>
    <row r="186" spans="1:16" ht="15.75">
      <c r="A186" s="13" t="s">
        <v>252</v>
      </c>
      <c r="B186" s="2">
        <v>14808</v>
      </c>
      <c r="C186" s="2">
        <v>20812</v>
      </c>
      <c r="D186" s="2">
        <v>4318</v>
      </c>
      <c r="E186" s="2">
        <v>16475</v>
      </c>
      <c r="F186" s="2">
        <f>11601+3482+12434</f>
        <v>27517</v>
      </c>
      <c r="G186" s="2">
        <f>25282+36058</f>
        <v>61340</v>
      </c>
      <c r="H186" s="2">
        <v>30160</v>
      </c>
      <c r="I186" s="2">
        <v>59310</v>
      </c>
      <c r="J186" s="2">
        <f>28034+15542+4015</f>
        <v>47591</v>
      </c>
      <c r="K186" s="2">
        <v>85898</v>
      </c>
      <c r="L186" s="2">
        <v>43519</v>
      </c>
      <c r="M186" s="2">
        <f>86661+22878</f>
        <v>109539</v>
      </c>
      <c r="N186" s="2">
        <v>52158</v>
      </c>
      <c r="O186" s="2">
        <v>74989</v>
      </c>
      <c r="P186" s="4">
        <f t="shared" si="33"/>
        <v>648434</v>
      </c>
    </row>
    <row r="187" spans="1:16" ht="15.75">
      <c r="A187" s="13" t="s">
        <v>253</v>
      </c>
      <c r="B187" s="2">
        <v>13474</v>
      </c>
      <c r="C187" s="2">
        <v>19174</v>
      </c>
      <c r="D187" s="2">
        <v>4321</v>
      </c>
      <c r="E187" s="2">
        <v>14738</v>
      </c>
      <c r="F187" s="2">
        <f>10962+2776+9649</f>
        <v>23387</v>
      </c>
      <c r="G187" s="2">
        <f>29520+39323</f>
        <v>68843</v>
      </c>
      <c r="H187" s="2">
        <v>29101</v>
      </c>
      <c r="I187" s="2">
        <v>79748</v>
      </c>
      <c r="J187" s="2">
        <f>35373+15201+6269</f>
        <v>56843</v>
      </c>
      <c r="K187" s="2">
        <v>88670</v>
      </c>
      <c r="L187" s="2">
        <v>36349</v>
      </c>
      <c r="M187" s="2">
        <f>80108+21149</f>
        <v>101257</v>
      </c>
      <c r="N187" s="2">
        <v>54291</v>
      </c>
      <c r="O187" s="2">
        <v>76665</v>
      </c>
      <c r="P187" s="4">
        <f t="shared" si="33"/>
        <v>666861</v>
      </c>
    </row>
    <row r="188" spans="1:16" ht="15.75">
      <c r="A188" s="13" t="s">
        <v>254</v>
      </c>
      <c r="B188" s="2">
        <v>11927</v>
      </c>
      <c r="C188" s="2">
        <v>18417</v>
      </c>
      <c r="D188" s="2">
        <v>4603</v>
      </c>
      <c r="E188" s="2">
        <v>19353</v>
      </c>
      <c r="F188" s="2">
        <f>24863+12525+16522</f>
        <v>53910</v>
      </c>
      <c r="G188" s="2">
        <f>31756+27314</f>
        <v>59070</v>
      </c>
      <c r="H188" s="2">
        <v>45004</v>
      </c>
      <c r="I188" s="2">
        <v>49521</v>
      </c>
      <c r="J188" s="2">
        <f>50875+17321+12235</f>
        <v>80431</v>
      </c>
      <c r="K188" s="2">
        <v>73393</v>
      </c>
      <c r="L188" s="2">
        <v>86606</v>
      </c>
      <c r="M188" s="2">
        <f>100940+21052</f>
        <v>121992</v>
      </c>
      <c r="N188" s="2">
        <v>52871</v>
      </c>
      <c r="O188" s="2">
        <v>73750</v>
      </c>
      <c r="P188" s="4">
        <f t="shared" si="33"/>
        <v>750848</v>
      </c>
    </row>
    <row r="189" spans="1:16" ht="15.75">
      <c r="A189" s="13" t="s">
        <v>255</v>
      </c>
      <c r="B189" s="2">
        <v>9793</v>
      </c>
      <c r="C189" s="60">
        <v>14148.7</v>
      </c>
      <c r="D189" s="2">
        <v>4076</v>
      </c>
      <c r="E189" s="2">
        <v>15140</v>
      </c>
      <c r="F189" s="2">
        <f>29665+5457+7453</f>
        <v>42575</v>
      </c>
      <c r="G189" s="2">
        <f>33940+8651</f>
        <v>42591</v>
      </c>
      <c r="H189" s="2">
        <v>59561</v>
      </c>
      <c r="I189" s="2">
        <v>60338</v>
      </c>
      <c r="J189" s="2">
        <f>61549+9317+4835</f>
        <v>75701</v>
      </c>
      <c r="K189" s="2">
        <v>59561</v>
      </c>
      <c r="L189" s="2">
        <v>73204</v>
      </c>
      <c r="M189" s="2">
        <v>84699</v>
      </c>
      <c r="N189" s="2">
        <v>48580</v>
      </c>
      <c r="O189" s="2">
        <v>65675</v>
      </c>
      <c r="P189" s="4">
        <f t="shared" si="33"/>
        <v>655642.7</v>
      </c>
    </row>
    <row r="190" spans="1:16" ht="15.75">
      <c r="A190" s="13" t="s">
        <v>256</v>
      </c>
      <c r="B190" s="2">
        <v>6966</v>
      </c>
      <c r="C190" s="2">
        <v>9434</v>
      </c>
      <c r="D190" s="2">
        <v>3440</v>
      </c>
      <c r="E190" s="2">
        <v>6090</v>
      </c>
      <c r="F190" s="2">
        <f>24852+907+2462</f>
        <v>28221</v>
      </c>
      <c r="G190" s="2">
        <f>28292+1944</f>
        <v>30236</v>
      </c>
      <c r="H190" s="2">
        <v>41574</v>
      </c>
      <c r="I190" s="2">
        <v>44447</v>
      </c>
      <c r="J190" s="2">
        <f>53107+3240+392</f>
        <v>56739</v>
      </c>
      <c r="K190" s="2">
        <v>41574</v>
      </c>
      <c r="L190" s="2">
        <v>55072</v>
      </c>
      <c r="M190" s="2">
        <v>70681</v>
      </c>
      <c r="N190" s="2">
        <v>39429</v>
      </c>
      <c r="O190" s="2">
        <v>52639</v>
      </c>
      <c r="P190" s="4">
        <f t="shared" si="33"/>
        <v>486542</v>
      </c>
    </row>
    <row r="191" spans="1:16" ht="15.75">
      <c r="A191" s="13" t="s">
        <v>257</v>
      </c>
      <c r="B191" s="2">
        <v>8521</v>
      </c>
      <c r="C191" s="2">
        <v>10694</v>
      </c>
      <c r="D191" s="2">
        <v>4321</v>
      </c>
      <c r="E191" s="2">
        <v>12955</v>
      </c>
      <c r="F191" s="2">
        <f>27763+803+2410</f>
        <v>30976</v>
      </c>
      <c r="G191" s="2">
        <f>33253+2009</f>
        <v>35262</v>
      </c>
      <c r="H191" s="2">
        <v>48205</v>
      </c>
      <c r="I191" s="2">
        <v>47357</v>
      </c>
      <c r="J191" s="2">
        <f>58153+2009+405</f>
        <v>60567</v>
      </c>
      <c r="K191" s="2">
        <v>48205</v>
      </c>
      <c r="L191" s="2">
        <v>66952</v>
      </c>
      <c r="M191" s="2">
        <v>81154</v>
      </c>
      <c r="N191" s="2">
        <v>46320</v>
      </c>
      <c r="O191" s="2">
        <v>60505</v>
      </c>
      <c r="P191" s="4">
        <f t="shared" si="33"/>
        <v>561994</v>
      </c>
    </row>
    <row r="192" spans="1:16" ht="15.75">
      <c r="A192" s="70" t="s">
        <v>74</v>
      </c>
      <c r="B192" s="53">
        <f aca="true" t="shared" si="34" ref="B192:P192">SUM(B180:B191)</f>
        <v>112985</v>
      </c>
      <c r="C192" s="53">
        <f t="shared" si="34"/>
        <v>155402.7</v>
      </c>
      <c r="D192" s="53">
        <f t="shared" si="34"/>
        <v>47792</v>
      </c>
      <c r="E192" s="53">
        <f t="shared" si="34"/>
        <v>211480</v>
      </c>
      <c r="F192" s="53">
        <f t="shared" si="34"/>
        <v>427354</v>
      </c>
      <c r="G192" s="53">
        <f t="shared" si="34"/>
        <v>496185</v>
      </c>
      <c r="H192" s="53">
        <f t="shared" si="34"/>
        <v>455458</v>
      </c>
      <c r="I192" s="53">
        <f t="shared" si="34"/>
        <v>612503</v>
      </c>
      <c r="J192" s="53">
        <f t="shared" si="34"/>
        <v>765489</v>
      </c>
      <c r="K192" s="53">
        <f t="shared" si="34"/>
        <v>677084</v>
      </c>
      <c r="L192" s="53">
        <f t="shared" si="34"/>
        <v>794351</v>
      </c>
      <c r="M192" s="53">
        <f t="shared" si="34"/>
        <v>1055967</v>
      </c>
      <c r="N192" s="53">
        <f t="shared" si="34"/>
        <v>546719</v>
      </c>
      <c r="O192" s="53">
        <f t="shared" si="34"/>
        <v>748010</v>
      </c>
      <c r="P192" s="53">
        <f t="shared" si="34"/>
        <v>7106779.7</v>
      </c>
    </row>
    <row r="193" spans="1:19" ht="25.5" customHeight="1">
      <c r="A193" s="88" t="s">
        <v>295</v>
      </c>
      <c r="B193" s="85">
        <f aca="true" t="shared" si="35" ref="B193:P193">B192/12</f>
        <v>9415.416666666666</v>
      </c>
      <c r="C193" s="85">
        <f t="shared" si="35"/>
        <v>12950.225</v>
      </c>
      <c r="D193" s="85">
        <f t="shared" si="35"/>
        <v>3982.6666666666665</v>
      </c>
      <c r="E193" s="85">
        <f t="shared" si="35"/>
        <v>17623.333333333332</v>
      </c>
      <c r="F193" s="85">
        <f t="shared" si="35"/>
        <v>35612.833333333336</v>
      </c>
      <c r="G193" s="85">
        <f t="shared" si="35"/>
        <v>41348.75</v>
      </c>
      <c r="H193" s="85">
        <f t="shared" si="35"/>
        <v>37954.833333333336</v>
      </c>
      <c r="I193" s="85">
        <f t="shared" si="35"/>
        <v>51041.916666666664</v>
      </c>
      <c r="J193" s="85">
        <f t="shared" si="35"/>
        <v>63790.75</v>
      </c>
      <c r="K193" s="85">
        <f t="shared" si="35"/>
        <v>56423.666666666664</v>
      </c>
      <c r="L193" s="85">
        <f t="shared" si="35"/>
        <v>66195.91666666667</v>
      </c>
      <c r="M193" s="85">
        <f t="shared" si="35"/>
        <v>87997.25</v>
      </c>
      <c r="N193" s="85">
        <f t="shared" si="35"/>
        <v>45559.916666666664</v>
      </c>
      <c r="O193" s="85">
        <f t="shared" si="35"/>
        <v>62334.166666666664</v>
      </c>
      <c r="P193" s="77">
        <f t="shared" si="35"/>
        <v>592231.6416666667</v>
      </c>
      <c r="Q193" s="8"/>
      <c r="R193" s="8"/>
      <c r="S193" s="8"/>
    </row>
    <row r="194" spans="1:19" ht="25.5" customHeight="1">
      <c r="A194" s="82" t="s">
        <v>297</v>
      </c>
      <c r="B194" s="86">
        <f>B193/83</f>
        <v>113.43875502008031</v>
      </c>
      <c r="C194" s="86">
        <f>C193/121</f>
        <v>107.02665289256198</v>
      </c>
      <c r="D194" s="86">
        <f>D193/45</f>
        <v>88.5037037037037</v>
      </c>
      <c r="E194" s="86">
        <f>E193/199</f>
        <v>88.55946398659965</v>
      </c>
      <c r="F194" s="86">
        <f>F193/(300+357)</f>
        <v>54.20522577371893</v>
      </c>
      <c r="G194" s="86">
        <f>G193/372</f>
        <v>111.15255376344086</v>
      </c>
      <c r="H194" s="86">
        <f>H193/314</f>
        <v>120.87526539278133</v>
      </c>
      <c r="I194" s="86">
        <f>I193/(102+124+124)</f>
        <v>145.83404761904762</v>
      </c>
      <c r="J194" s="86">
        <f>J193/(297+285)</f>
        <v>109.60609965635739</v>
      </c>
      <c r="K194" s="86">
        <f>K193/448</f>
        <v>125.94568452380952</v>
      </c>
      <c r="L194" s="86">
        <f>L193/(232+310+232)</f>
        <v>85.52444013781223</v>
      </c>
      <c r="M194" s="86">
        <f>M193/(328+194+165+317)</f>
        <v>87.64666334661355</v>
      </c>
      <c r="N194" s="86">
        <f>N193/(124+124+120+96)</f>
        <v>98.18947557471265</v>
      </c>
      <c r="O194" s="86">
        <f>O193/(124+124+120+96)</f>
        <v>134.3408764367816</v>
      </c>
      <c r="P194" s="77">
        <f>P193/5877</f>
        <v>100.77108076683116</v>
      </c>
      <c r="Q194" s="8"/>
      <c r="R194" s="8"/>
      <c r="S194" s="8"/>
    </row>
    <row r="195" spans="1:19" ht="25.5" customHeight="1">
      <c r="A195" s="78" t="s">
        <v>299</v>
      </c>
      <c r="B195" s="86">
        <v>2.8</v>
      </c>
      <c r="C195" s="86">
        <v>2.8</v>
      </c>
      <c r="D195" s="86">
        <v>2.8</v>
      </c>
      <c r="E195" s="86">
        <v>2.8</v>
      </c>
      <c r="F195" s="86">
        <v>2.8</v>
      </c>
      <c r="G195" s="86">
        <v>2.8</v>
      </c>
      <c r="H195" s="86">
        <v>2.8</v>
      </c>
      <c r="I195" s="86">
        <v>2.8</v>
      </c>
      <c r="J195" s="86">
        <v>2.8</v>
      </c>
      <c r="K195" s="86">
        <v>2.8</v>
      </c>
      <c r="L195" s="86">
        <v>2.8</v>
      </c>
      <c r="M195" s="86">
        <v>2.8</v>
      </c>
      <c r="N195" s="86">
        <v>2.8</v>
      </c>
      <c r="O195" s="86">
        <v>2.8</v>
      </c>
      <c r="P195" s="77">
        <v>2.8</v>
      </c>
      <c r="Q195" s="8"/>
      <c r="R195" s="8"/>
      <c r="S195" s="8"/>
    </row>
    <row r="196" spans="1:16" ht="25.5" customHeight="1">
      <c r="A196" s="82" t="s">
        <v>298</v>
      </c>
      <c r="B196" s="86">
        <f aca="true" t="shared" si="36" ref="B196:P196">B194*B195</f>
        <v>317.62851405622484</v>
      </c>
      <c r="C196" s="86">
        <f t="shared" si="36"/>
        <v>299.67462809917356</v>
      </c>
      <c r="D196" s="86">
        <f t="shared" si="36"/>
        <v>247.81037037037035</v>
      </c>
      <c r="E196" s="86">
        <f t="shared" si="36"/>
        <v>247.966499162479</v>
      </c>
      <c r="F196" s="86">
        <f t="shared" si="36"/>
        <v>151.774632166413</v>
      </c>
      <c r="G196" s="86">
        <f t="shared" si="36"/>
        <v>311.2271505376344</v>
      </c>
      <c r="H196" s="86">
        <f t="shared" si="36"/>
        <v>338.4507430997877</v>
      </c>
      <c r="I196" s="86">
        <f t="shared" si="36"/>
        <v>408.3353333333333</v>
      </c>
      <c r="J196" s="86">
        <f t="shared" si="36"/>
        <v>306.89707903780067</v>
      </c>
      <c r="K196" s="86">
        <f t="shared" si="36"/>
        <v>352.6479166666666</v>
      </c>
      <c r="L196" s="86">
        <f t="shared" si="36"/>
        <v>239.46843238587425</v>
      </c>
      <c r="M196" s="86">
        <f t="shared" si="36"/>
        <v>245.41065737051792</v>
      </c>
      <c r="N196" s="86">
        <f t="shared" si="36"/>
        <v>274.9305316091954</v>
      </c>
      <c r="O196" s="86">
        <f t="shared" si="36"/>
        <v>376.15445402298843</v>
      </c>
      <c r="P196" s="77">
        <f t="shared" si="36"/>
        <v>282.15902614712724</v>
      </c>
    </row>
    <row r="197" spans="1:16" ht="25.5" customHeight="1">
      <c r="A197" s="79" t="s">
        <v>296</v>
      </c>
      <c r="B197" s="87">
        <f aca="true" t="shared" si="37" ref="B197:P197">B196*12/2.5</f>
        <v>1524.6168674698793</v>
      </c>
      <c r="C197" s="87">
        <f t="shared" si="37"/>
        <v>1438.438214876033</v>
      </c>
      <c r="D197" s="87">
        <f t="shared" si="37"/>
        <v>1189.4897777777776</v>
      </c>
      <c r="E197" s="87">
        <f t="shared" si="37"/>
        <v>1190.2391959798993</v>
      </c>
      <c r="F197" s="87">
        <f t="shared" si="37"/>
        <v>728.5182343987824</v>
      </c>
      <c r="G197" s="87">
        <f t="shared" si="37"/>
        <v>1493.890322580645</v>
      </c>
      <c r="H197" s="87">
        <f t="shared" si="37"/>
        <v>1624.563566878981</v>
      </c>
      <c r="I197" s="87">
        <f t="shared" si="37"/>
        <v>1960.0095999999999</v>
      </c>
      <c r="J197" s="87">
        <f t="shared" si="37"/>
        <v>1473.1059793814431</v>
      </c>
      <c r="K197" s="87">
        <f t="shared" si="37"/>
        <v>1692.7099999999998</v>
      </c>
      <c r="L197" s="87">
        <f t="shared" si="37"/>
        <v>1149.4484754521964</v>
      </c>
      <c r="M197" s="87">
        <f t="shared" si="37"/>
        <v>1177.971155378486</v>
      </c>
      <c r="N197" s="87">
        <f t="shared" si="37"/>
        <v>1319.6665517241377</v>
      </c>
      <c r="O197" s="87">
        <f t="shared" si="37"/>
        <v>1805.5413793103446</v>
      </c>
      <c r="P197" s="96">
        <f t="shared" si="37"/>
        <v>1354.363325506211</v>
      </c>
    </row>
    <row r="199" ht="15.75">
      <c r="A199" s="1" t="s">
        <v>304</v>
      </c>
    </row>
    <row r="205" spans="1:16" ht="15.75">
      <c r="A205" s="2" t="s">
        <v>18</v>
      </c>
      <c r="B205" s="16" t="s">
        <v>0</v>
      </c>
      <c r="C205" s="16" t="s">
        <v>1</v>
      </c>
      <c r="D205" s="16" t="s">
        <v>2</v>
      </c>
      <c r="E205" s="16" t="s">
        <v>3</v>
      </c>
      <c r="F205" s="16" t="s">
        <v>70</v>
      </c>
      <c r="G205" s="16" t="s">
        <v>6</v>
      </c>
      <c r="H205" s="16" t="s">
        <v>7</v>
      </c>
      <c r="I205" s="16" t="s">
        <v>8</v>
      </c>
      <c r="J205" s="16" t="s">
        <v>191</v>
      </c>
      <c r="K205" s="16" t="s">
        <v>11</v>
      </c>
      <c r="L205" s="16" t="s">
        <v>13</v>
      </c>
      <c r="M205" s="56" t="s">
        <v>192</v>
      </c>
      <c r="N205" s="2" t="s">
        <v>217</v>
      </c>
      <c r="O205" s="2" t="s">
        <v>218</v>
      </c>
      <c r="P205" s="3" t="s">
        <v>134</v>
      </c>
    </row>
    <row r="206" spans="1:16" ht="15.75">
      <c r="A206" s="13" t="s">
        <v>270</v>
      </c>
      <c r="B206" s="2">
        <v>8240</v>
      </c>
      <c r="C206" s="2">
        <v>10961</v>
      </c>
      <c r="D206" s="2">
        <v>4596</v>
      </c>
      <c r="E206" s="2">
        <v>6677</v>
      </c>
      <c r="F206" s="2">
        <f>17208+604+2264</f>
        <v>20076</v>
      </c>
      <c r="G206" s="2">
        <f>34456+1509</f>
        <v>35965</v>
      </c>
      <c r="H206" s="2">
        <v>22531</v>
      </c>
      <c r="I206" s="2">
        <v>36568</v>
      </c>
      <c r="J206" s="2">
        <f>50312+1509+152</f>
        <v>51973</v>
      </c>
      <c r="K206" s="2">
        <v>47659</v>
      </c>
      <c r="L206" s="2">
        <v>67905</v>
      </c>
      <c r="M206" s="2">
        <f>68591+1509</f>
        <v>70100</v>
      </c>
      <c r="N206" s="2">
        <f>48663</f>
        <v>48663</v>
      </c>
      <c r="O206" s="2">
        <v>57679</v>
      </c>
      <c r="P206" s="4">
        <f>SUM(B206:O206)</f>
        <v>489593</v>
      </c>
    </row>
    <row r="207" spans="1:16" ht="15.75">
      <c r="A207" s="13" t="s">
        <v>271</v>
      </c>
      <c r="B207" s="2">
        <v>5418</v>
      </c>
      <c r="C207" s="2">
        <v>7250</v>
      </c>
      <c r="D207" s="2">
        <v>2546</v>
      </c>
      <c r="E207" s="2">
        <v>4084</v>
      </c>
      <c r="F207" s="2">
        <f>7056+340+1248</f>
        <v>8644</v>
      </c>
      <c r="G207" s="2">
        <f>16828+1418</f>
        <v>18246</v>
      </c>
      <c r="H207" s="2">
        <v>14422</v>
      </c>
      <c r="I207" s="2">
        <v>24731</v>
      </c>
      <c r="J207" s="2">
        <f>28825+1134+229</f>
        <v>30188</v>
      </c>
      <c r="K207" s="2">
        <v>32332</v>
      </c>
      <c r="L207" s="2">
        <v>25525</v>
      </c>
      <c r="M207" s="1">
        <f>48128+908</f>
        <v>49036</v>
      </c>
      <c r="N207" s="2">
        <v>31916</v>
      </c>
      <c r="O207" s="2">
        <v>41284</v>
      </c>
      <c r="P207" s="4">
        <f aca="true" t="shared" si="38" ref="P207:P217">SUM(B207:O207)</f>
        <v>295622</v>
      </c>
    </row>
    <row r="208" spans="1:16" ht="15.75">
      <c r="A208" s="13" t="s">
        <v>272</v>
      </c>
      <c r="B208" s="2">
        <v>8420</v>
      </c>
      <c r="C208" s="2">
        <v>10964</v>
      </c>
      <c r="D208" s="2">
        <v>4690</v>
      </c>
      <c r="E208" s="2">
        <v>8900</v>
      </c>
      <c r="F208" s="2">
        <f>15753+724+1737</f>
        <v>18214</v>
      </c>
      <c r="G208" s="2">
        <f>35939+2171</f>
        <v>38110</v>
      </c>
      <c r="H208" s="2">
        <v>31833</v>
      </c>
      <c r="I208" s="2">
        <v>50845</v>
      </c>
      <c r="J208" s="2">
        <f>53830+2171+292</f>
        <v>56293</v>
      </c>
      <c r="K208" s="2">
        <v>56923</v>
      </c>
      <c r="L208" s="2">
        <v>75978</v>
      </c>
      <c r="M208" s="2">
        <f>87709+1447</f>
        <v>89156</v>
      </c>
      <c r="N208" s="2">
        <v>45077</v>
      </c>
      <c r="O208" s="2">
        <v>69434</v>
      </c>
      <c r="P208" s="4">
        <f t="shared" si="38"/>
        <v>564837</v>
      </c>
    </row>
    <row r="209" spans="1:16" ht="15.75">
      <c r="A209" s="13" t="s">
        <v>273</v>
      </c>
      <c r="B209" s="2">
        <v>8744</v>
      </c>
      <c r="C209" s="2">
        <v>12368</v>
      </c>
      <c r="D209" s="2">
        <v>3938</v>
      </c>
      <c r="E209" s="2">
        <v>12265</v>
      </c>
      <c r="F209" s="2">
        <f>15648+4403+6290</f>
        <v>26341</v>
      </c>
      <c r="G209" s="2">
        <f>28722+4403</f>
        <v>33125</v>
      </c>
      <c r="H209" s="2">
        <v>34055</v>
      </c>
      <c r="I209" s="2">
        <v>49771</v>
      </c>
      <c r="J209" s="2">
        <f>68638+6290+4316</f>
        <v>79244</v>
      </c>
      <c r="K209" s="2">
        <v>45914</v>
      </c>
      <c r="L209" s="2">
        <v>72330</v>
      </c>
      <c r="M209" s="2">
        <f>76237+2767</f>
        <v>79004</v>
      </c>
      <c r="N209" s="2">
        <v>51488</v>
      </c>
      <c r="O209" s="2">
        <v>55778</v>
      </c>
      <c r="P209" s="4">
        <f t="shared" si="38"/>
        <v>564365</v>
      </c>
    </row>
    <row r="210" spans="1:16" ht="15.75">
      <c r="A210" s="13" t="s">
        <v>274</v>
      </c>
      <c r="B210" s="2">
        <v>8201</v>
      </c>
      <c r="C210" s="2">
        <v>11792</v>
      </c>
      <c r="D210" s="2">
        <v>3339</v>
      </c>
      <c r="E210" s="2">
        <v>16582</v>
      </c>
      <c r="F210" s="2">
        <f>13752+7960+9286</f>
        <v>30998</v>
      </c>
      <c r="G210" s="2">
        <f>26286+9581</f>
        <v>35867</v>
      </c>
      <c r="H210" s="2">
        <v>45485</v>
      </c>
      <c r="I210" s="2">
        <v>51393</v>
      </c>
      <c r="J210" s="2">
        <f>62178+12529+4908</f>
        <v>79615</v>
      </c>
      <c r="K210" s="2">
        <v>67313</v>
      </c>
      <c r="L210" s="2">
        <v>95810</v>
      </c>
      <c r="M210" s="2">
        <f>80400+5601</f>
        <v>86001</v>
      </c>
      <c r="N210" s="2">
        <v>48239</v>
      </c>
      <c r="O210" s="2">
        <v>67670</v>
      </c>
      <c r="P210" s="4">
        <f t="shared" si="38"/>
        <v>648305</v>
      </c>
    </row>
    <row r="211" spans="1:16" ht="15.75">
      <c r="A211" s="13" t="s">
        <v>275</v>
      </c>
      <c r="B211" s="2">
        <v>14257</v>
      </c>
      <c r="C211" s="2">
        <v>21240</v>
      </c>
      <c r="D211" s="2">
        <v>4324</v>
      </c>
      <c r="E211" s="2">
        <v>26843</v>
      </c>
      <c r="F211" s="2">
        <f>15901+8785+10179</f>
        <v>34865</v>
      </c>
      <c r="G211" s="2">
        <f>28586+10458</f>
        <v>39044</v>
      </c>
      <c r="H211" s="2">
        <v>50000</v>
      </c>
      <c r="I211" s="2">
        <v>56150</v>
      </c>
      <c r="J211" s="2">
        <f>68144+13247+5347</f>
        <v>86738</v>
      </c>
      <c r="K211" s="2">
        <v>74022</v>
      </c>
      <c r="L211" s="2">
        <v>108069</v>
      </c>
      <c r="M211" s="2">
        <f>143670+6136</f>
        <v>149806</v>
      </c>
      <c r="N211" s="2">
        <v>53241</v>
      </c>
      <c r="O211" s="2">
        <v>96479</v>
      </c>
      <c r="P211" s="4">
        <f t="shared" si="38"/>
        <v>815078</v>
      </c>
    </row>
    <row r="212" spans="1:16" ht="15.75">
      <c r="A212" s="13" t="s">
        <v>276</v>
      </c>
      <c r="B212" s="2">
        <v>12947</v>
      </c>
      <c r="C212" s="2">
        <v>20441</v>
      </c>
      <c r="D212" s="2">
        <v>3277</v>
      </c>
      <c r="E212" s="2">
        <f>24431</f>
        <v>24431</v>
      </c>
      <c r="F212" s="2">
        <f>5641+7944+9250</f>
        <v>22835</v>
      </c>
      <c r="G212" s="2">
        <f>25936+9522</f>
        <v>35458</v>
      </c>
      <c r="H212" s="2">
        <v>21782</v>
      </c>
      <c r="I212" s="2">
        <v>93878</v>
      </c>
      <c r="J212" s="2">
        <f>13503+19044+24488</f>
        <v>57035</v>
      </c>
      <c r="K212" s="2">
        <v>95311</v>
      </c>
      <c r="L212" s="2">
        <v>16323</v>
      </c>
      <c r="M212" s="2">
        <f>65953+36782</f>
        <v>102735</v>
      </c>
      <c r="N212" s="2">
        <v>53843</v>
      </c>
      <c r="O212" s="2">
        <v>59744</v>
      </c>
      <c r="P212" s="4">
        <f t="shared" si="38"/>
        <v>620040</v>
      </c>
    </row>
    <row r="213" spans="1:16" ht="15.75">
      <c r="A213" s="13" t="s">
        <v>277</v>
      </c>
      <c r="B213" s="2">
        <v>10396</v>
      </c>
      <c r="C213" s="2">
        <v>15510</v>
      </c>
      <c r="D213" s="2">
        <v>3819</v>
      </c>
      <c r="E213" s="2">
        <v>20020</v>
      </c>
      <c r="F213" s="2">
        <f>7577+11208+13157</f>
        <v>31942</v>
      </c>
      <c r="G213" s="2">
        <f>37359+12588</f>
        <v>49947</v>
      </c>
      <c r="H213" s="2">
        <v>31373</v>
      </c>
      <c r="I213" s="2">
        <v>135305</v>
      </c>
      <c r="J213" s="2">
        <f>170457+13843+35240</f>
        <v>219540</v>
      </c>
      <c r="K213" s="2">
        <v>85547</v>
      </c>
      <c r="L213" s="2">
        <v>28425</v>
      </c>
      <c r="M213" s="2">
        <f>83676+22091</f>
        <v>105767</v>
      </c>
      <c r="N213" s="2">
        <v>47455</v>
      </c>
      <c r="O213" s="2">
        <v>81044</v>
      </c>
      <c r="P213" s="4">
        <f t="shared" si="38"/>
        <v>866090</v>
      </c>
    </row>
    <row r="214" spans="1:16" ht="15.75">
      <c r="A214" s="13" t="s">
        <v>278</v>
      </c>
      <c r="B214" s="2">
        <v>13618</v>
      </c>
      <c r="C214" s="2">
        <v>18929</v>
      </c>
      <c r="D214" s="2">
        <v>924</v>
      </c>
      <c r="E214" s="2">
        <v>9362</v>
      </c>
      <c r="F214" s="2">
        <f>15047+6241+44851</f>
        <v>66139</v>
      </c>
      <c r="G214" s="2">
        <f>45964+153857</f>
        <v>199821</v>
      </c>
      <c r="H214" s="2">
        <v>19431</v>
      </c>
      <c r="I214" s="2">
        <v>16450</v>
      </c>
      <c r="J214" s="2">
        <f>162947+18137+11132</f>
        <v>192216</v>
      </c>
      <c r="K214" s="2">
        <v>72937</v>
      </c>
      <c r="L214" s="2">
        <v>58059</v>
      </c>
      <c r="M214" s="2">
        <f>83570+1161</f>
        <v>84731</v>
      </c>
      <c r="N214" s="2">
        <v>43704</v>
      </c>
      <c r="O214" s="2">
        <v>60455</v>
      </c>
      <c r="P214" s="4">
        <f t="shared" si="38"/>
        <v>856776</v>
      </c>
    </row>
    <row r="215" spans="1:16" ht="15.75">
      <c r="A215" s="13" t="s">
        <v>279</v>
      </c>
      <c r="B215" s="2">
        <v>9170</v>
      </c>
      <c r="C215" s="2">
        <v>12876</v>
      </c>
      <c r="D215" s="2">
        <v>2540</v>
      </c>
      <c r="E215" s="2">
        <v>9735</v>
      </c>
      <c r="F215" s="2">
        <f>18222+3380+5138</f>
        <v>26740</v>
      </c>
      <c r="G215" s="2">
        <f>36282+16901</f>
        <v>53183</v>
      </c>
      <c r="H215" s="2">
        <v>20554</v>
      </c>
      <c r="I215" s="2">
        <v>38760</v>
      </c>
      <c r="J215" s="2">
        <f>136078+19329+273</f>
        <v>155680</v>
      </c>
      <c r="K215" s="2">
        <v>49577</v>
      </c>
      <c r="L215" s="2">
        <v>57465</v>
      </c>
      <c r="M215" s="2">
        <f>90140+17307</f>
        <v>107447</v>
      </c>
      <c r="N215" s="2">
        <v>38618</v>
      </c>
      <c r="O215" s="2">
        <v>62421</v>
      </c>
      <c r="P215" s="4">
        <f t="shared" si="38"/>
        <v>644766</v>
      </c>
    </row>
    <row r="216" spans="1:16" ht="15.75">
      <c r="A216" s="13" t="s">
        <v>280</v>
      </c>
      <c r="B216" s="2">
        <v>8530</v>
      </c>
      <c r="C216" s="2">
        <v>11640</v>
      </c>
      <c r="D216" s="2">
        <v>1545</v>
      </c>
      <c r="E216" s="2">
        <v>9699</v>
      </c>
      <c r="F216" s="2">
        <f>18348+3398+5097</f>
        <v>26843</v>
      </c>
      <c r="G216" s="2">
        <f>36578+16991</f>
        <v>53569</v>
      </c>
      <c r="H216" s="2">
        <v>20621</v>
      </c>
      <c r="I216" s="2">
        <v>38701</v>
      </c>
      <c r="J216" s="2">
        <f>173829+20846+286</f>
        <v>194961</v>
      </c>
      <c r="K216" s="2">
        <v>47787</v>
      </c>
      <c r="L216" s="2">
        <v>60176</v>
      </c>
      <c r="M216" s="2">
        <f>90103+17274</f>
        <v>107377</v>
      </c>
      <c r="N216" s="2">
        <v>40882</v>
      </c>
      <c r="O216" s="2">
        <v>58039</v>
      </c>
      <c r="P216" s="4">
        <f t="shared" si="38"/>
        <v>680370</v>
      </c>
    </row>
    <row r="217" spans="1:16" ht="15.75">
      <c r="A217" s="13" t="s">
        <v>281</v>
      </c>
      <c r="B217" s="2">
        <v>9001</v>
      </c>
      <c r="C217" s="2">
        <v>10642</v>
      </c>
      <c r="D217" s="2">
        <v>339</v>
      </c>
      <c r="E217" s="2">
        <v>9524</v>
      </c>
      <c r="F217" s="2">
        <f>17817+3294+5013</f>
        <v>26124</v>
      </c>
      <c r="G217" s="2">
        <f>35806+16471</f>
        <v>52277</v>
      </c>
      <c r="H217" s="2">
        <v>20184</v>
      </c>
      <c r="I217" s="2">
        <v>38193</v>
      </c>
      <c r="J217" s="2">
        <f>169971+20383+145</f>
        <v>190499</v>
      </c>
      <c r="K217" s="2">
        <v>47144</v>
      </c>
      <c r="L217" s="2">
        <v>57289</v>
      </c>
      <c r="M217" s="2">
        <f>86802+16900</f>
        <v>103702</v>
      </c>
      <c r="N217" s="2">
        <v>39975</v>
      </c>
      <c r="O217" s="2">
        <v>56751</v>
      </c>
      <c r="P217" s="4">
        <f t="shared" si="38"/>
        <v>661644</v>
      </c>
    </row>
    <row r="218" spans="1:16" ht="15.75">
      <c r="A218" s="52" t="s">
        <v>74</v>
      </c>
      <c r="B218" s="2">
        <f>SUM(B209:B217)</f>
        <v>94864</v>
      </c>
      <c r="C218" s="2">
        <f>SUM(C209:C217)</f>
        <v>135438</v>
      </c>
      <c r="D218" s="2">
        <f aca="true" t="shared" si="39" ref="D218:P218">SUM(D206:D217)</f>
        <v>35877</v>
      </c>
      <c r="E218" s="2">
        <f t="shared" si="39"/>
        <v>158122</v>
      </c>
      <c r="F218" s="2">
        <f t="shared" si="39"/>
        <v>339761</v>
      </c>
      <c r="G218" s="2">
        <f t="shared" si="39"/>
        <v>644612</v>
      </c>
      <c r="H218" s="2">
        <f t="shared" si="39"/>
        <v>332271</v>
      </c>
      <c r="I218" s="2">
        <f t="shared" si="39"/>
        <v>630745</v>
      </c>
      <c r="J218" s="2">
        <f t="shared" si="39"/>
        <v>1393982</v>
      </c>
      <c r="K218" s="2">
        <f t="shared" si="39"/>
        <v>722466</v>
      </c>
      <c r="L218" s="2">
        <f t="shared" si="39"/>
        <v>723354</v>
      </c>
      <c r="M218" s="2">
        <f>SUM(M206:M217)</f>
        <v>1134862</v>
      </c>
      <c r="N218" s="2">
        <f t="shared" si="39"/>
        <v>543101</v>
      </c>
      <c r="O218" s="2">
        <f t="shared" si="39"/>
        <v>766778</v>
      </c>
      <c r="P218" s="2">
        <f t="shared" si="39"/>
        <v>7707486</v>
      </c>
    </row>
    <row r="219" spans="1:16" ht="15.75">
      <c r="A219" s="82" t="s">
        <v>410</v>
      </c>
      <c r="B219" s="100">
        <f>B218/12</f>
        <v>7905.333333333333</v>
      </c>
      <c r="C219" s="100">
        <f aca="true" t="shared" si="40" ref="C219:P219">C218/12</f>
        <v>11286.5</v>
      </c>
      <c r="D219" s="100">
        <f t="shared" si="40"/>
        <v>2989.75</v>
      </c>
      <c r="E219" s="100">
        <f t="shared" si="40"/>
        <v>13176.833333333334</v>
      </c>
      <c r="F219" s="100">
        <f t="shared" si="40"/>
        <v>28313.416666666668</v>
      </c>
      <c r="G219" s="100">
        <f t="shared" si="40"/>
        <v>53717.666666666664</v>
      </c>
      <c r="H219" s="100">
        <f t="shared" si="40"/>
        <v>27689.25</v>
      </c>
      <c r="I219" s="100">
        <f t="shared" si="40"/>
        <v>52562.083333333336</v>
      </c>
      <c r="J219" s="100">
        <f t="shared" si="40"/>
        <v>116165.16666666667</v>
      </c>
      <c r="K219" s="100">
        <f t="shared" si="40"/>
        <v>60205.5</v>
      </c>
      <c r="L219" s="100">
        <f t="shared" si="40"/>
        <v>60279.5</v>
      </c>
      <c r="M219" s="100">
        <f t="shared" si="40"/>
        <v>94571.83333333333</v>
      </c>
      <c r="N219" s="100">
        <f t="shared" si="40"/>
        <v>45258.416666666664</v>
      </c>
      <c r="O219" s="100">
        <f t="shared" si="40"/>
        <v>63898.166666666664</v>
      </c>
      <c r="P219" s="100">
        <f t="shared" si="40"/>
        <v>642290.5</v>
      </c>
    </row>
    <row r="220" spans="1:16" ht="15.75">
      <c r="A220" s="82" t="s">
        <v>297</v>
      </c>
      <c r="B220" s="101">
        <f>B219/83</f>
        <v>95.24497991967871</v>
      </c>
      <c r="C220" s="101">
        <f>C219/121</f>
        <v>93.27685950413223</v>
      </c>
      <c r="D220" s="101">
        <f>D219/30</f>
        <v>99.65833333333333</v>
      </c>
      <c r="E220" s="101">
        <f>E219/199</f>
        <v>66.21524288107203</v>
      </c>
      <c r="F220" s="101">
        <f>F219/633</f>
        <v>44.72893628225382</v>
      </c>
      <c r="G220" s="101">
        <f>G219/372</f>
        <v>144.40232974910393</v>
      </c>
      <c r="H220" s="101">
        <f>H219/314</f>
        <v>88.18232484076434</v>
      </c>
      <c r="I220" s="101">
        <f>I219/350</f>
        <v>150.17738095238096</v>
      </c>
      <c r="J220" s="101">
        <f>J219/1586</f>
        <v>73.24411517444305</v>
      </c>
      <c r="K220" s="101">
        <f>K219/448</f>
        <v>134.38727678571428</v>
      </c>
      <c r="L220" s="101">
        <f>L219/774</f>
        <v>77.88049095607235</v>
      </c>
      <c r="M220" s="101">
        <f>M219/990</f>
        <v>95.52710437710438</v>
      </c>
      <c r="N220" s="101">
        <f>N219/464</f>
        <v>97.53969109195401</v>
      </c>
      <c r="O220" s="101">
        <f>O219/464</f>
        <v>137.711566091954</v>
      </c>
      <c r="P220" s="74">
        <f>P219/6828</f>
        <v>94.06714997070884</v>
      </c>
    </row>
    <row r="221" spans="1:16" ht="15.75">
      <c r="A221" s="82" t="s">
        <v>411</v>
      </c>
      <c r="B221" s="86">
        <v>2.8</v>
      </c>
      <c r="C221" s="86">
        <v>2.8</v>
      </c>
      <c r="D221" s="86">
        <v>2.8</v>
      </c>
      <c r="E221" s="86">
        <v>2.8</v>
      </c>
      <c r="F221" s="86">
        <v>2.8</v>
      </c>
      <c r="G221" s="86">
        <v>2.8</v>
      </c>
      <c r="H221" s="86">
        <v>2.8</v>
      </c>
      <c r="I221" s="86">
        <v>2.8</v>
      </c>
      <c r="J221" s="86">
        <v>2.8</v>
      </c>
      <c r="K221" s="86">
        <v>2.8</v>
      </c>
      <c r="L221" s="86">
        <v>2.8</v>
      </c>
      <c r="M221" s="86">
        <v>2.8</v>
      </c>
      <c r="N221" s="86">
        <v>2.8</v>
      </c>
      <c r="O221" s="86">
        <v>2.8</v>
      </c>
      <c r="P221" s="86">
        <v>2.8</v>
      </c>
    </row>
    <row r="222" spans="1:16" ht="15.75">
      <c r="A222" s="82" t="s">
        <v>412</v>
      </c>
      <c r="B222" s="101">
        <f>B220*B221</f>
        <v>266.6859437751004</v>
      </c>
      <c r="C222" s="101">
        <f aca="true" t="shared" si="41" ref="C222:P222">C220*C221</f>
        <v>261.1752066115702</v>
      </c>
      <c r="D222" s="101">
        <f t="shared" si="41"/>
        <v>279.0433333333333</v>
      </c>
      <c r="E222" s="101">
        <f t="shared" si="41"/>
        <v>185.40268006700168</v>
      </c>
      <c r="F222" s="101">
        <f t="shared" si="41"/>
        <v>125.24102159031068</v>
      </c>
      <c r="G222" s="101">
        <f t="shared" si="41"/>
        <v>404.32652329749095</v>
      </c>
      <c r="H222" s="101">
        <f t="shared" si="41"/>
        <v>246.91050955414013</v>
      </c>
      <c r="I222" s="101">
        <f t="shared" si="41"/>
        <v>420.49666666666667</v>
      </c>
      <c r="J222" s="101">
        <f t="shared" si="41"/>
        <v>205.08352248844054</v>
      </c>
      <c r="K222" s="101">
        <f t="shared" si="41"/>
        <v>376.28437499999995</v>
      </c>
      <c r="L222" s="101">
        <f t="shared" si="41"/>
        <v>218.06537467700258</v>
      </c>
      <c r="M222" s="101">
        <f t="shared" si="41"/>
        <v>267.47589225589223</v>
      </c>
      <c r="N222" s="101">
        <f t="shared" si="41"/>
        <v>273.1111350574712</v>
      </c>
      <c r="O222" s="101">
        <f t="shared" si="41"/>
        <v>385.59238505747123</v>
      </c>
      <c r="P222" s="101">
        <f t="shared" si="41"/>
        <v>263.38801991798476</v>
      </c>
    </row>
    <row r="223" spans="1:16" ht="22.5">
      <c r="A223" s="79" t="s">
        <v>296</v>
      </c>
      <c r="B223" s="87">
        <f>B222*12/2.5</f>
        <v>1280.0925301204818</v>
      </c>
      <c r="C223" s="87">
        <f aca="true" t="shared" si="42" ref="C223:P223">C222*12/2.5</f>
        <v>1253.640991735537</v>
      </c>
      <c r="D223" s="87">
        <f t="shared" si="42"/>
        <v>1339.408</v>
      </c>
      <c r="E223" s="87">
        <f t="shared" si="42"/>
        <v>889.932864321608</v>
      </c>
      <c r="F223" s="87">
        <f t="shared" si="42"/>
        <v>601.1569036334913</v>
      </c>
      <c r="G223" s="87">
        <f t="shared" si="42"/>
        <v>1940.7673118279567</v>
      </c>
      <c r="H223" s="87">
        <f t="shared" si="42"/>
        <v>1185.1704458598726</v>
      </c>
      <c r="I223" s="87">
        <f t="shared" si="42"/>
        <v>2018.384</v>
      </c>
      <c r="J223" s="87">
        <f t="shared" si="42"/>
        <v>984.4009079445146</v>
      </c>
      <c r="K223" s="87">
        <f t="shared" si="42"/>
        <v>1806.1649999999997</v>
      </c>
      <c r="L223" s="87">
        <f t="shared" si="42"/>
        <v>1046.7137984496123</v>
      </c>
      <c r="M223" s="87">
        <f t="shared" si="42"/>
        <v>1283.8842828282827</v>
      </c>
      <c r="N223" s="87">
        <f t="shared" si="42"/>
        <v>1310.9334482758618</v>
      </c>
      <c r="O223" s="87">
        <f t="shared" si="42"/>
        <v>1850.8434482758616</v>
      </c>
      <c r="P223" s="96">
        <f t="shared" si="42"/>
        <v>1264.2624956063269</v>
      </c>
    </row>
    <row r="226" spans="1:16" ht="15.75">
      <c r="A226" s="2" t="s">
        <v>18</v>
      </c>
      <c r="B226" s="16" t="s">
        <v>0</v>
      </c>
      <c r="C226" s="16" t="s">
        <v>1</v>
      </c>
      <c r="D226" s="16" t="s">
        <v>2</v>
      </c>
      <c r="E226" s="16" t="s">
        <v>3</v>
      </c>
      <c r="F226" s="16" t="s">
        <v>70</v>
      </c>
      <c r="G226" s="16" t="s">
        <v>6</v>
      </c>
      <c r="H226" s="16" t="s">
        <v>7</v>
      </c>
      <c r="I226" s="16" t="s">
        <v>8</v>
      </c>
      <c r="J226" s="16" t="s">
        <v>191</v>
      </c>
      <c r="K226" s="16" t="s">
        <v>11</v>
      </c>
      <c r="L226" s="16" t="s">
        <v>13</v>
      </c>
      <c r="M226" s="56" t="s">
        <v>192</v>
      </c>
      <c r="N226" s="2" t="s">
        <v>217</v>
      </c>
      <c r="O226" s="2" t="s">
        <v>218</v>
      </c>
      <c r="P226" s="3" t="s">
        <v>134</v>
      </c>
    </row>
    <row r="227" spans="1:16" ht="15.75">
      <c r="A227" s="13" t="s">
        <v>305</v>
      </c>
      <c r="B227" s="2">
        <v>6563</v>
      </c>
      <c r="C227" s="2">
        <v>8543</v>
      </c>
      <c r="D227" s="2">
        <v>429</v>
      </c>
      <c r="E227" s="2">
        <v>6151</v>
      </c>
      <c r="F227" s="2">
        <v>33600</v>
      </c>
      <c r="G227" s="2">
        <v>32903</v>
      </c>
      <c r="H227" s="2">
        <v>24390</v>
      </c>
      <c r="I227" s="2">
        <v>39287</v>
      </c>
      <c r="J227" s="2">
        <f>226430+17640</f>
        <v>244070</v>
      </c>
      <c r="K227" s="2">
        <v>56475</v>
      </c>
      <c r="L227" s="2">
        <v>55247</v>
      </c>
      <c r="M227" s="2">
        <v>31251</v>
      </c>
      <c r="N227" s="2">
        <v>46175</v>
      </c>
      <c r="O227" s="2">
        <v>47678</v>
      </c>
      <c r="P227" s="4">
        <f>SUM(B227:O227)</f>
        <v>632762</v>
      </c>
    </row>
    <row r="228" spans="1:16" ht="15.75">
      <c r="A228" s="13" t="s">
        <v>306</v>
      </c>
      <c r="B228" s="2">
        <v>6361</v>
      </c>
      <c r="C228" s="2">
        <v>9114</v>
      </c>
      <c r="D228" s="2">
        <v>433</v>
      </c>
      <c r="E228" s="2">
        <v>5016</v>
      </c>
      <c r="F228" s="2">
        <v>14949</v>
      </c>
      <c r="G228" s="2">
        <v>22362</v>
      </c>
      <c r="H228" s="2">
        <v>13241</v>
      </c>
      <c r="I228" s="2">
        <v>26750</v>
      </c>
      <c r="J228" s="2">
        <f>158295+12086</f>
        <v>170381</v>
      </c>
      <c r="K228" s="2">
        <v>37618</v>
      </c>
      <c r="L228" s="2">
        <v>40752</v>
      </c>
      <c r="M228" s="1">
        <v>53197</v>
      </c>
      <c r="N228" s="2">
        <v>33155</v>
      </c>
      <c r="O228" s="2">
        <v>40471</v>
      </c>
      <c r="P228" s="4">
        <f aca="true" t="shared" si="43" ref="P228:P238">SUM(B228:O228)</f>
        <v>473800</v>
      </c>
    </row>
    <row r="229" spans="1:16" ht="15.75">
      <c r="A229" s="13" t="s">
        <v>307</v>
      </c>
      <c r="B229" s="2">
        <v>8288</v>
      </c>
      <c r="C229" s="2">
        <v>11607</v>
      </c>
      <c r="D229" s="2">
        <v>573</v>
      </c>
      <c r="E229" s="2">
        <v>15618</v>
      </c>
      <c r="F229" s="2">
        <f>23129+2100</f>
        <v>25229</v>
      </c>
      <c r="G229" s="2">
        <v>35654</v>
      </c>
      <c r="H229" s="2">
        <v>21624</v>
      </c>
      <c r="I229" s="2">
        <v>40248</v>
      </c>
      <c r="J229" s="2">
        <f>211466+19522</f>
        <v>230988</v>
      </c>
      <c r="K229" s="2">
        <v>45498</v>
      </c>
      <c r="L229" s="2">
        <v>55778</v>
      </c>
      <c r="M229" s="2">
        <v>75564</v>
      </c>
      <c r="N229" s="2">
        <v>41435</v>
      </c>
      <c r="O229" s="2">
        <v>50629</v>
      </c>
      <c r="P229" s="4">
        <f t="shared" si="43"/>
        <v>658733</v>
      </c>
    </row>
    <row r="230" spans="1:16" ht="15.75">
      <c r="A230" s="13" t="s">
        <v>308</v>
      </c>
      <c r="B230" s="2">
        <v>8460</v>
      </c>
      <c r="C230" s="2">
        <v>9073</v>
      </c>
      <c r="D230" s="2">
        <v>236</v>
      </c>
      <c r="E230" s="2">
        <v>3856</v>
      </c>
      <c r="F230" s="2">
        <f>20827+3240+4666</f>
        <v>28733</v>
      </c>
      <c r="G230" s="2">
        <f>32619+1944</f>
        <v>34563</v>
      </c>
      <c r="H230" s="2">
        <f>20832</f>
        <v>20832</v>
      </c>
      <c r="I230" s="2">
        <v>38970</v>
      </c>
      <c r="J230" s="2">
        <f>199847+18934+1439</f>
        <v>220220</v>
      </c>
      <c r="K230" s="2">
        <v>48821</v>
      </c>
      <c r="L230" s="2">
        <v>64807</v>
      </c>
      <c r="M230" s="2">
        <v>74626</v>
      </c>
      <c r="N230" s="2">
        <v>37727</v>
      </c>
      <c r="O230" s="2">
        <v>34779</v>
      </c>
      <c r="P230" s="4">
        <f t="shared" si="43"/>
        <v>625703</v>
      </c>
    </row>
    <row r="231" spans="1:16" ht="15.75">
      <c r="A231" s="13" t="s">
        <v>309</v>
      </c>
      <c r="B231" s="2">
        <v>9099</v>
      </c>
      <c r="C231" s="2">
        <v>17030</v>
      </c>
      <c r="D231" s="2">
        <v>0</v>
      </c>
      <c r="E231" s="2">
        <v>13967</v>
      </c>
      <c r="F231" s="2">
        <f>32176+10972+10538</f>
        <v>53686</v>
      </c>
      <c r="G231" s="2">
        <f>47159+43309</f>
        <v>90468</v>
      </c>
      <c r="H231" s="2">
        <v>49994</v>
      </c>
      <c r="I231" s="2">
        <v>68236</v>
      </c>
      <c r="J231" s="2">
        <f>268888+23839+1894</f>
        <v>294621</v>
      </c>
      <c r="K231" s="2">
        <v>62437</v>
      </c>
      <c r="L231" s="2">
        <v>75791</v>
      </c>
      <c r="M231" s="2">
        <f>83118+2887</f>
        <v>86005</v>
      </c>
      <c r="N231" s="2">
        <v>42889</v>
      </c>
      <c r="O231" s="2">
        <v>54770</v>
      </c>
      <c r="P231" s="4">
        <f t="shared" si="43"/>
        <v>918993</v>
      </c>
    </row>
    <row r="232" spans="1:16" ht="15.75">
      <c r="A232" s="13" t="s">
        <v>310</v>
      </c>
      <c r="B232" s="2">
        <v>10172</v>
      </c>
      <c r="C232" s="2">
        <v>15250</v>
      </c>
      <c r="D232" s="2">
        <v>0</v>
      </c>
      <c r="E232" s="2">
        <v>10880</v>
      </c>
      <c r="F232" s="2">
        <v>52841</v>
      </c>
      <c r="G232" s="2">
        <v>63719</v>
      </c>
      <c r="H232" s="2">
        <v>39784</v>
      </c>
      <c r="I232" s="2">
        <v>53300</v>
      </c>
      <c r="J232" s="2">
        <v>236988</v>
      </c>
      <c r="K232" s="2">
        <v>49092</v>
      </c>
      <c r="L232" s="2">
        <v>57107</v>
      </c>
      <c r="M232" s="2">
        <v>94963</v>
      </c>
      <c r="N232" s="2">
        <v>34525</v>
      </c>
      <c r="O232" s="2">
        <v>44189</v>
      </c>
      <c r="P232" s="4">
        <f>SUM(B232:O232)</f>
        <v>762810</v>
      </c>
    </row>
    <row r="233" spans="1:16" ht="15.75">
      <c r="A233" s="13" t="s">
        <v>311</v>
      </c>
      <c r="B233" s="2">
        <v>15275</v>
      </c>
      <c r="C233" s="2">
        <v>22400</v>
      </c>
      <c r="D233" s="2">
        <v>0</v>
      </c>
      <c r="E233" s="2">
        <v>22183</v>
      </c>
      <c r="F233" s="2">
        <v>32617</v>
      </c>
      <c r="G233" s="2">
        <v>89708</v>
      </c>
      <c r="H233" s="2">
        <v>10333</v>
      </c>
      <c r="I233" s="2">
        <v>57840</v>
      </c>
      <c r="J233" s="2">
        <v>293515</v>
      </c>
      <c r="K233" s="2">
        <v>110122</v>
      </c>
      <c r="L233" s="2">
        <v>54437</v>
      </c>
      <c r="M233" s="2">
        <v>96593</v>
      </c>
      <c r="N233" s="2">
        <v>66027</v>
      </c>
      <c r="O233" s="2">
        <v>56526</v>
      </c>
      <c r="P233" s="4">
        <f t="shared" si="43"/>
        <v>927576</v>
      </c>
    </row>
    <row r="234" spans="1:16" ht="15.75">
      <c r="A234" s="13" t="s">
        <v>312</v>
      </c>
      <c r="B234" s="2">
        <v>13718</v>
      </c>
      <c r="C234" s="2">
        <v>20186</v>
      </c>
      <c r="D234" s="2">
        <v>0</v>
      </c>
      <c r="E234" s="2">
        <v>16637</v>
      </c>
      <c r="F234" s="2">
        <v>27723</v>
      </c>
      <c r="G234" s="2">
        <v>80340</v>
      </c>
      <c r="H234" s="2">
        <v>9351</v>
      </c>
      <c r="I234" s="2">
        <v>51452</v>
      </c>
      <c r="J234" s="2">
        <v>261283</v>
      </c>
      <c r="K234" s="2">
        <v>93836</v>
      </c>
      <c r="L234" s="2">
        <v>37956</v>
      </c>
      <c r="M234" s="2">
        <v>78588</v>
      </c>
      <c r="N234" s="2">
        <v>59336</v>
      </c>
      <c r="O234" s="2">
        <v>50795</v>
      </c>
      <c r="P234" s="4">
        <f t="shared" si="43"/>
        <v>801201</v>
      </c>
    </row>
    <row r="235" spans="1:16" ht="15.75">
      <c r="A235" s="13" t="s">
        <v>313</v>
      </c>
      <c r="B235" s="2">
        <v>5916</v>
      </c>
      <c r="C235" s="2">
        <v>10776</v>
      </c>
      <c r="D235" s="2">
        <v>0</v>
      </c>
      <c r="E235" s="2">
        <v>7774</v>
      </c>
      <c r="F235" s="2">
        <v>38746</v>
      </c>
      <c r="G235" s="2">
        <v>35488</v>
      </c>
      <c r="H235" s="2">
        <v>23125</v>
      </c>
      <c r="I235" s="2">
        <v>37268</v>
      </c>
      <c r="J235" s="2">
        <v>127938</v>
      </c>
      <c r="K235" s="2">
        <v>10477</v>
      </c>
      <c r="L235" s="2">
        <v>33798</v>
      </c>
      <c r="M235" s="2">
        <v>60869</v>
      </c>
      <c r="N235" s="2">
        <v>24591</v>
      </c>
      <c r="O235" s="2">
        <v>42827</v>
      </c>
      <c r="P235" s="4">
        <f t="shared" si="43"/>
        <v>459593</v>
      </c>
    </row>
    <row r="236" spans="1:16" ht="15.75">
      <c r="A236" s="13" t="s">
        <v>314</v>
      </c>
      <c r="B236" s="2">
        <v>8135</v>
      </c>
      <c r="C236" s="2">
        <v>13676</v>
      </c>
      <c r="D236" s="2">
        <v>0</v>
      </c>
      <c r="E236" s="2">
        <v>13359</v>
      </c>
      <c r="F236" s="2">
        <v>31577</v>
      </c>
      <c r="G236" s="2">
        <v>43449</v>
      </c>
      <c r="H236" s="2">
        <v>24828</v>
      </c>
      <c r="I236" s="2">
        <v>45753</v>
      </c>
      <c r="J236" s="2">
        <v>234357</v>
      </c>
      <c r="K236" s="2">
        <v>12723</v>
      </c>
      <c r="L236" s="2">
        <v>57612</v>
      </c>
      <c r="M236" s="2">
        <v>54390</v>
      </c>
      <c r="N236" s="2">
        <v>41384</v>
      </c>
      <c r="O236" s="2">
        <v>49727</v>
      </c>
      <c r="P236" s="4">
        <f t="shared" si="43"/>
        <v>630970</v>
      </c>
    </row>
    <row r="237" spans="1:16" ht="15.75">
      <c r="A237" s="13" t="s">
        <v>315</v>
      </c>
      <c r="B237" s="2">
        <v>7018</v>
      </c>
      <c r="C237" s="2">
        <v>11577</v>
      </c>
      <c r="D237" s="2">
        <v>0</v>
      </c>
      <c r="E237" s="2">
        <v>9565</v>
      </c>
      <c r="F237" s="2">
        <v>28740</v>
      </c>
      <c r="G237" s="2">
        <v>41751</v>
      </c>
      <c r="H237" s="2">
        <v>22576</v>
      </c>
      <c r="I237" s="2">
        <v>40523</v>
      </c>
      <c r="J237" s="2">
        <v>225472</v>
      </c>
      <c r="K237" s="2">
        <v>13957</v>
      </c>
      <c r="L237" s="2">
        <v>57753</v>
      </c>
      <c r="M237" s="2">
        <v>58322</v>
      </c>
      <c r="N237" s="2">
        <v>43019</v>
      </c>
      <c r="O237" s="2">
        <v>49708</v>
      </c>
      <c r="P237" s="4">
        <f t="shared" si="43"/>
        <v>609981</v>
      </c>
    </row>
    <row r="238" spans="1:16" ht="15.75">
      <c r="A238" s="13" t="s">
        <v>316</v>
      </c>
      <c r="B238" s="2">
        <v>6672</v>
      </c>
      <c r="C238" s="2">
        <v>10918</v>
      </c>
      <c r="D238" s="2">
        <v>0</v>
      </c>
      <c r="E238" s="2">
        <v>7747</v>
      </c>
      <c r="F238" s="2">
        <v>22876</v>
      </c>
      <c r="G238" s="2">
        <v>35491</v>
      </c>
      <c r="H238" s="2">
        <v>19744</v>
      </c>
      <c r="I238" s="2">
        <v>36882</v>
      </c>
      <c r="J238" s="2">
        <v>206051</v>
      </c>
      <c r="K238" s="2">
        <v>9433</v>
      </c>
      <c r="L238" s="2">
        <v>49522</v>
      </c>
      <c r="M238" s="2">
        <v>4288</v>
      </c>
      <c r="N238" s="2">
        <v>39346</v>
      </c>
      <c r="O238" s="2">
        <v>45464</v>
      </c>
      <c r="P238" s="4">
        <f t="shared" si="43"/>
        <v>494434</v>
      </c>
    </row>
    <row r="239" spans="1:16" ht="15.75">
      <c r="A239" s="52" t="s">
        <v>74</v>
      </c>
      <c r="B239" s="2">
        <f>SUM(B230:B238)</f>
        <v>84465</v>
      </c>
      <c r="C239" s="2">
        <f>SUM(C230:C238)</f>
        <v>130886</v>
      </c>
      <c r="D239" s="2">
        <f aca="true" t="shared" si="44" ref="D239:P239">SUM(D227:D238)</f>
        <v>1671</v>
      </c>
      <c r="E239" s="2">
        <f t="shared" si="44"/>
        <v>132753</v>
      </c>
      <c r="F239" s="2">
        <f t="shared" si="44"/>
        <v>391317</v>
      </c>
      <c r="G239" s="2">
        <f t="shared" si="44"/>
        <v>605896</v>
      </c>
      <c r="H239" s="2">
        <f t="shared" si="44"/>
        <v>279822</v>
      </c>
      <c r="I239" s="2">
        <f t="shared" si="44"/>
        <v>536509</v>
      </c>
      <c r="J239" s="2">
        <f t="shared" si="44"/>
        <v>2745884</v>
      </c>
      <c r="K239" s="2">
        <f t="shared" si="44"/>
        <v>550489</v>
      </c>
      <c r="L239" s="2">
        <f t="shared" si="44"/>
        <v>640560</v>
      </c>
      <c r="M239" s="2">
        <f t="shared" si="44"/>
        <v>768656</v>
      </c>
      <c r="N239" s="2">
        <f t="shared" si="44"/>
        <v>509609</v>
      </c>
      <c r="O239" s="2">
        <f t="shared" si="44"/>
        <v>567563</v>
      </c>
      <c r="P239" s="2">
        <f t="shared" si="44"/>
        <v>7996556</v>
      </c>
    </row>
    <row r="240" spans="1:16" ht="15.75">
      <c r="A240" s="82" t="s">
        <v>410</v>
      </c>
      <c r="B240" s="100">
        <f>B239/12</f>
        <v>7038.75</v>
      </c>
      <c r="C240" s="100">
        <f aca="true" t="shared" si="45" ref="C240:P240">C239/12</f>
        <v>10907.166666666666</v>
      </c>
      <c r="D240" s="100">
        <f t="shared" si="45"/>
        <v>139.25</v>
      </c>
      <c r="E240" s="100">
        <f t="shared" si="45"/>
        <v>11062.75</v>
      </c>
      <c r="F240" s="100">
        <f t="shared" si="45"/>
        <v>32609.75</v>
      </c>
      <c r="G240" s="100">
        <f t="shared" si="45"/>
        <v>50491.333333333336</v>
      </c>
      <c r="H240" s="100">
        <f t="shared" si="45"/>
        <v>23318.5</v>
      </c>
      <c r="I240" s="100">
        <f t="shared" si="45"/>
        <v>44709.083333333336</v>
      </c>
      <c r="J240" s="100">
        <f t="shared" si="45"/>
        <v>228823.66666666666</v>
      </c>
      <c r="K240" s="100">
        <f t="shared" si="45"/>
        <v>45874.083333333336</v>
      </c>
      <c r="L240" s="100">
        <f t="shared" si="45"/>
        <v>53380</v>
      </c>
      <c r="M240" s="100">
        <f t="shared" si="45"/>
        <v>64054.666666666664</v>
      </c>
      <c r="N240" s="100">
        <f t="shared" si="45"/>
        <v>42467.416666666664</v>
      </c>
      <c r="O240" s="100">
        <f t="shared" si="45"/>
        <v>47296.916666666664</v>
      </c>
      <c r="P240" s="100">
        <f t="shared" si="45"/>
        <v>666379.6666666666</v>
      </c>
    </row>
    <row r="241" spans="1:16" ht="15.75">
      <c r="A241" s="82" t="s">
        <v>297</v>
      </c>
      <c r="B241" s="101">
        <f>B240/83</f>
        <v>84.80421686746988</v>
      </c>
      <c r="C241" s="101">
        <f>C240/121</f>
        <v>90.14187327823691</v>
      </c>
      <c r="D241" s="101">
        <f>D240/30</f>
        <v>4.641666666666667</v>
      </c>
      <c r="E241" s="101">
        <f>E240/199</f>
        <v>55.59170854271357</v>
      </c>
      <c r="F241" s="101">
        <f>F240/633</f>
        <v>51.51619273301738</v>
      </c>
      <c r="G241" s="101">
        <f>G240/372</f>
        <v>135.7293906810036</v>
      </c>
      <c r="H241" s="101">
        <f>H240/314</f>
        <v>74.26273885350318</v>
      </c>
      <c r="I241" s="101">
        <f>I240/350</f>
        <v>127.7402380952381</v>
      </c>
      <c r="J241" s="101">
        <f>J240/1480</f>
        <v>154.61058558558557</v>
      </c>
      <c r="K241" s="101">
        <f>K240/448</f>
        <v>102.39750744047619</v>
      </c>
      <c r="L241" s="101">
        <f>L240/774</f>
        <v>68.96640826873384</v>
      </c>
      <c r="M241" s="101">
        <f>M240/990</f>
        <v>64.7016835016835</v>
      </c>
      <c r="N241" s="101">
        <f>N240/464</f>
        <v>91.52460488505747</v>
      </c>
      <c r="O241" s="101">
        <f>O240/462</f>
        <v>102.37427849927849</v>
      </c>
      <c r="P241" s="74">
        <f>P240/6720</f>
        <v>99.16364087301586</v>
      </c>
    </row>
    <row r="242" spans="1:16" ht="15.75">
      <c r="A242" s="82" t="s">
        <v>411</v>
      </c>
      <c r="B242" s="86">
        <v>3.09</v>
      </c>
      <c r="C242" s="86">
        <v>3.09</v>
      </c>
      <c r="D242" s="86">
        <v>3.09</v>
      </c>
      <c r="E242" s="86">
        <v>3.09</v>
      </c>
      <c r="F242" s="86">
        <v>3.09</v>
      </c>
      <c r="G242" s="86">
        <v>3.09</v>
      </c>
      <c r="H242" s="86">
        <v>3.09</v>
      </c>
      <c r="I242" s="86">
        <v>3.09</v>
      </c>
      <c r="J242" s="86">
        <v>3.09</v>
      </c>
      <c r="K242" s="86">
        <v>3.09</v>
      </c>
      <c r="L242" s="86">
        <v>3.09</v>
      </c>
      <c r="M242" s="86">
        <v>3.09</v>
      </c>
      <c r="N242" s="86">
        <v>3.09</v>
      </c>
      <c r="O242" s="86">
        <v>3.09</v>
      </c>
      <c r="P242" s="86">
        <v>3.09</v>
      </c>
    </row>
    <row r="243" spans="1:16" ht="15.75">
      <c r="A243" s="82" t="s">
        <v>412</v>
      </c>
      <c r="B243" s="101">
        <f>B241*B242</f>
        <v>262.0450301204819</v>
      </c>
      <c r="C243" s="101">
        <f aca="true" t="shared" si="46" ref="C243:P243">C241*C242</f>
        <v>278.53838842975205</v>
      </c>
      <c r="D243" s="101">
        <f t="shared" si="46"/>
        <v>14.342749999999999</v>
      </c>
      <c r="E243" s="101">
        <f t="shared" si="46"/>
        <v>171.77837939698492</v>
      </c>
      <c r="F243" s="101">
        <f t="shared" si="46"/>
        <v>159.18503554502368</v>
      </c>
      <c r="G243" s="101">
        <f t="shared" si="46"/>
        <v>419.4038172043011</v>
      </c>
      <c r="H243" s="101">
        <f t="shared" si="46"/>
        <v>229.4718630573248</v>
      </c>
      <c r="I243" s="101">
        <f t="shared" si="46"/>
        <v>394.7173357142857</v>
      </c>
      <c r="J243" s="101">
        <f t="shared" si="46"/>
        <v>477.7467094594594</v>
      </c>
      <c r="K243" s="101">
        <f t="shared" si="46"/>
        <v>316.40829799107144</v>
      </c>
      <c r="L243" s="101">
        <f t="shared" si="46"/>
        <v>213.10620155038757</v>
      </c>
      <c r="M243" s="101">
        <f t="shared" si="46"/>
        <v>199.928202020202</v>
      </c>
      <c r="N243" s="101">
        <f t="shared" si="46"/>
        <v>282.8110290948276</v>
      </c>
      <c r="O243" s="101">
        <f t="shared" si="46"/>
        <v>316.33652056277054</v>
      </c>
      <c r="P243" s="101">
        <f t="shared" si="46"/>
        <v>306.415650297619</v>
      </c>
    </row>
    <row r="244" spans="1:16" ht="22.5">
      <c r="A244" s="79" t="s">
        <v>296</v>
      </c>
      <c r="B244" s="87">
        <f>B243*12/2.5</f>
        <v>1257.816144578313</v>
      </c>
      <c r="C244" s="87">
        <f aca="true" t="shared" si="47" ref="C244:P244">C243*12/2.5</f>
        <v>1336.9842644628097</v>
      </c>
      <c r="D244" s="87">
        <f t="shared" si="47"/>
        <v>68.8452</v>
      </c>
      <c r="E244" s="87">
        <f t="shared" si="47"/>
        <v>824.5362211055275</v>
      </c>
      <c r="F244" s="87">
        <f t="shared" si="47"/>
        <v>764.0881706161138</v>
      </c>
      <c r="G244" s="87">
        <f t="shared" si="47"/>
        <v>2013.1383225806453</v>
      </c>
      <c r="H244" s="87">
        <f t="shared" si="47"/>
        <v>1101.4649426751591</v>
      </c>
      <c r="I244" s="87">
        <f t="shared" si="47"/>
        <v>1894.6432114285715</v>
      </c>
      <c r="J244" s="87">
        <f t="shared" si="47"/>
        <v>2293.184205405405</v>
      </c>
      <c r="K244" s="87">
        <f t="shared" si="47"/>
        <v>1518.7598303571428</v>
      </c>
      <c r="L244" s="87">
        <f t="shared" si="47"/>
        <v>1022.9097674418603</v>
      </c>
      <c r="M244" s="87">
        <f t="shared" si="47"/>
        <v>959.6553696969697</v>
      </c>
      <c r="N244" s="87">
        <f t="shared" si="47"/>
        <v>1357.4929396551724</v>
      </c>
      <c r="O244" s="87">
        <f t="shared" si="47"/>
        <v>1518.4152987012985</v>
      </c>
      <c r="P244" s="96">
        <f t="shared" si="47"/>
        <v>1470.795121428571</v>
      </c>
    </row>
    <row r="245" ht="15.75">
      <c r="A245" s="1" t="s">
        <v>413</v>
      </c>
    </row>
    <row r="248" spans="1:16" ht="15.75">
      <c r="A248" s="2" t="s">
        <v>18</v>
      </c>
      <c r="B248" s="16" t="s">
        <v>0</v>
      </c>
      <c r="C248" s="16" t="s">
        <v>1</v>
      </c>
      <c r="D248" s="16" t="s">
        <v>2</v>
      </c>
      <c r="E248" s="16" t="s">
        <v>3</v>
      </c>
      <c r="F248" s="16" t="s">
        <v>70</v>
      </c>
      <c r="G248" s="16" t="s">
        <v>6</v>
      </c>
      <c r="H248" s="16" t="s">
        <v>7</v>
      </c>
      <c r="I248" s="16" t="s">
        <v>8</v>
      </c>
      <c r="J248" s="16" t="s">
        <v>191</v>
      </c>
      <c r="K248" s="16" t="s">
        <v>11</v>
      </c>
      <c r="L248" s="16" t="s">
        <v>13</v>
      </c>
      <c r="M248" s="56" t="s">
        <v>192</v>
      </c>
      <c r="N248" s="2" t="s">
        <v>217</v>
      </c>
      <c r="O248" s="2" t="s">
        <v>218</v>
      </c>
      <c r="P248" s="3" t="s">
        <v>134</v>
      </c>
    </row>
    <row r="249" spans="1:16" ht="15.75">
      <c r="A249" s="13" t="s">
        <v>342</v>
      </c>
      <c r="B249" s="2">
        <v>4958</v>
      </c>
      <c r="C249" s="2">
        <v>7963</v>
      </c>
      <c r="D249" s="2">
        <v>0</v>
      </c>
      <c r="E249" s="2">
        <v>5524</v>
      </c>
      <c r="F249" s="2">
        <v>24302</v>
      </c>
      <c r="G249" s="2">
        <v>32981</v>
      </c>
      <c r="H249" s="2">
        <v>17499</v>
      </c>
      <c r="I249" s="2">
        <v>35802</v>
      </c>
      <c r="J249" s="2">
        <v>643719</v>
      </c>
      <c r="K249" s="2">
        <v>4079</v>
      </c>
      <c r="L249" s="2">
        <v>55940</v>
      </c>
      <c r="M249" s="2">
        <v>94912</v>
      </c>
      <c r="N249" s="2">
        <v>42806</v>
      </c>
      <c r="O249" s="2">
        <v>50633</v>
      </c>
      <c r="P249" s="4">
        <f aca="true" t="shared" si="48" ref="P249:P254">SUM(B249:O249)</f>
        <v>1021118</v>
      </c>
    </row>
    <row r="250" spans="1:16" ht="15.75">
      <c r="A250" s="13" t="s">
        <v>331</v>
      </c>
      <c r="B250" s="2">
        <v>3960</v>
      </c>
      <c r="C250" s="2">
        <v>6577</v>
      </c>
      <c r="D250" s="2">
        <v>2332</v>
      </c>
      <c r="E250" s="2">
        <v>4077</v>
      </c>
      <c r="F250" s="2">
        <v>14425</v>
      </c>
      <c r="G250" s="2">
        <v>19506</v>
      </c>
      <c r="H250" s="2">
        <v>11269</v>
      </c>
      <c r="I250" s="2">
        <v>19968</v>
      </c>
      <c r="J250" s="2">
        <v>377806</v>
      </c>
      <c r="K250" s="2">
        <v>17564</v>
      </c>
      <c r="L250" s="2">
        <v>22187</v>
      </c>
      <c r="M250" s="1">
        <v>44810</v>
      </c>
      <c r="N250" s="2">
        <v>29572</v>
      </c>
      <c r="O250" s="2">
        <v>34938</v>
      </c>
      <c r="P250" s="4">
        <f t="shared" si="48"/>
        <v>608991</v>
      </c>
    </row>
    <row r="251" spans="1:16" ht="15.75">
      <c r="A251" s="13" t="s">
        <v>332</v>
      </c>
      <c r="B251" s="2">
        <v>6807</v>
      </c>
      <c r="C251" s="2">
        <v>10746</v>
      </c>
      <c r="D251" s="2">
        <v>816</v>
      </c>
      <c r="E251" s="2">
        <v>7030</v>
      </c>
      <c r="F251" s="2">
        <v>25622</v>
      </c>
      <c r="G251" s="2">
        <v>37017</v>
      </c>
      <c r="H251" s="2">
        <v>22380</v>
      </c>
      <c r="I251" s="2">
        <v>35895</v>
      </c>
      <c r="J251" s="2">
        <v>518548</v>
      </c>
      <c r="K251" s="2">
        <v>39261</v>
      </c>
      <c r="L251" s="2">
        <v>14956</v>
      </c>
      <c r="M251" s="2">
        <v>69181</v>
      </c>
      <c r="N251" s="2">
        <v>40268</v>
      </c>
      <c r="O251" s="2">
        <v>50196</v>
      </c>
      <c r="P251" s="4">
        <f t="shared" si="48"/>
        <v>878723</v>
      </c>
    </row>
    <row r="252" spans="1:16" ht="15.75">
      <c r="A252" s="13" t="s">
        <v>333</v>
      </c>
      <c r="B252" s="2">
        <v>4972</v>
      </c>
      <c r="C252" s="2">
        <v>8625</v>
      </c>
      <c r="D252" s="2">
        <v>2389</v>
      </c>
      <c r="E252" s="2">
        <v>6703</v>
      </c>
      <c r="F252" s="2">
        <v>22156</v>
      </c>
      <c r="G252" s="2">
        <v>32846</v>
      </c>
      <c r="H252" s="2">
        <v>19560</v>
      </c>
      <c r="I252" s="2">
        <v>27182</v>
      </c>
      <c r="J252" s="2">
        <v>383210</v>
      </c>
      <c r="K252" s="2">
        <v>32948</v>
      </c>
      <c r="L252" s="2">
        <v>9267</v>
      </c>
      <c r="M252" s="2">
        <v>42516</v>
      </c>
      <c r="N252" s="2">
        <v>30797</v>
      </c>
      <c r="O252" s="2">
        <v>38145</v>
      </c>
      <c r="P252" s="4">
        <f t="shared" si="48"/>
        <v>661316</v>
      </c>
    </row>
    <row r="253" spans="1:16" ht="15.75">
      <c r="A253" s="13" t="s">
        <v>334</v>
      </c>
      <c r="B253" s="2">
        <v>9068</v>
      </c>
      <c r="C253" s="2">
        <v>14494</v>
      </c>
      <c r="D253" s="2">
        <v>1752</v>
      </c>
      <c r="E253" s="2">
        <v>14323</v>
      </c>
      <c r="F253" s="2">
        <v>42471</v>
      </c>
      <c r="G253" s="2">
        <v>64708</v>
      </c>
      <c r="H253" s="2">
        <v>34037</v>
      </c>
      <c r="I253" s="2">
        <v>52731</v>
      </c>
      <c r="J253" s="2">
        <v>556323</v>
      </c>
      <c r="K253" s="2">
        <v>49597</v>
      </c>
      <c r="L253" s="2">
        <v>13906</v>
      </c>
      <c r="M253" s="2">
        <v>102811</v>
      </c>
      <c r="N253" s="2">
        <v>43080</v>
      </c>
      <c r="O253" s="2">
        <v>22472</v>
      </c>
      <c r="P253" s="4">
        <f t="shared" si="48"/>
        <v>1021773</v>
      </c>
    </row>
    <row r="254" spans="1:16" ht="15.75">
      <c r="A254" s="13" t="s">
        <v>335</v>
      </c>
      <c r="B254" s="2">
        <v>12246</v>
      </c>
      <c r="C254" s="2">
        <v>19264</v>
      </c>
      <c r="D254" s="2">
        <v>2363</v>
      </c>
      <c r="E254" s="2">
        <v>17445</v>
      </c>
      <c r="F254" s="2">
        <v>57800</v>
      </c>
      <c r="G254" s="2">
        <v>91444</v>
      </c>
      <c r="H254" s="2">
        <v>42222</v>
      </c>
      <c r="I254" s="2">
        <v>67756</v>
      </c>
      <c r="J254" s="2">
        <v>627140</v>
      </c>
      <c r="K254" s="2">
        <v>89419</v>
      </c>
      <c r="L254" s="2">
        <v>13497</v>
      </c>
      <c r="M254" s="2">
        <v>116207</v>
      </c>
      <c r="N254" s="2">
        <v>53647</v>
      </c>
      <c r="O254" s="2">
        <v>59543</v>
      </c>
      <c r="P254" s="4">
        <f t="shared" si="48"/>
        <v>1269993</v>
      </c>
    </row>
    <row r="255" spans="1:16" ht="15.75">
      <c r="A255" s="13" t="s">
        <v>336</v>
      </c>
      <c r="B255" s="2">
        <v>14003</v>
      </c>
      <c r="C255" s="2">
        <v>19605</v>
      </c>
      <c r="D255" s="2">
        <v>2143</v>
      </c>
      <c r="E255" s="2">
        <v>14012</v>
      </c>
      <c r="F255" s="2">
        <v>66333</v>
      </c>
      <c r="G255" s="2">
        <v>64566</v>
      </c>
      <c r="H255" s="2">
        <v>9063</v>
      </c>
      <c r="I255" s="2">
        <v>44847</v>
      </c>
      <c r="J255" s="2">
        <v>364190</v>
      </c>
      <c r="K255" s="2">
        <v>43114</v>
      </c>
      <c r="L255" s="2">
        <v>12681</v>
      </c>
      <c r="M255" s="2">
        <v>61989</v>
      </c>
      <c r="N255" s="2">
        <v>51006</v>
      </c>
      <c r="O255" s="2">
        <v>42007</v>
      </c>
      <c r="P255" s="4">
        <f aca="true" t="shared" si="49" ref="P255:P260">SUM(B255:O255)</f>
        <v>809559</v>
      </c>
    </row>
    <row r="256" spans="1:16" ht="15.75">
      <c r="A256" s="13" t="s">
        <v>337</v>
      </c>
      <c r="B256" s="2">
        <v>10054</v>
      </c>
      <c r="C256" s="2">
        <v>16439</v>
      </c>
      <c r="D256" s="2">
        <v>732</v>
      </c>
      <c r="E256" s="2">
        <v>10487</v>
      </c>
      <c r="F256" s="2">
        <v>13377</v>
      </c>
      <c r="G256" s="2">
        <v>46152</v>
      </c>
      <c r="H256" s="2">
        <v>5793</v>
      </c>
      <c r="I256" s="2">
        <v>36414</v>
      </c>
      <c r="J256" s="2">
        <v>402744</v>
      </c>
      <c r="K256" s="2">
        <v>47313</v>
      </c>
      <c r="L256" s="2">
        <v>12673</v>
      </c>
      <c r="M256" s="2">
        <v>87046</v>
      </c>
      <c r="N256" s="2">
        <v>40170</v>
      </c>
      <c r="O256" s="2">
        <v>35449</v>
      </c>
      <c r="P256" s="4">
        <f t="shared" si="49"/>
        <v>764843</v>
      </c>
    </row>
    <row r="257" spans="1:16" ht="15.75">
      <c r="A257" s="13" t="s">
        <v>338</v>
      </c>
      <c r="B257" s="2">
        <v>9476</v>
      </c>
      <c r="C257" s="2">
        <v>13692</v>
      </c>
      <c r="D257" s="2">
        <v>1624</v>
      </c>
      <c r="E257" s="2">
        <v>9963</v>
      </c>
      <c r="F257" s="2">
        <v>26175</v>
      </c>
      <c r="G257" s="2">
        <v>61011</v>
      </c>
      <c r="H257" s="2">
        <v>5093</v>
      </c>
      <c r="I257" s="2">
        <v>42909</v>
      </c>
      <c r="J257" s="2">
        <v>408474</v>
      </c>
      <c r="K257" s="2">
        <v>45944</v>
      </c>
      <c r="L257" s="2">
        <v>44565</v>
      </c>
      <c r="M257" s="2">
        <v>83202</v>
      </c>
      <c r="N257" s="2">
        <v>37818</v>
      </c>
      <c r="O257" s="2">
        <v>39451</v>
      </c>
      <c r="P257" s="4">
        <f t="shared" si="49"/>
        <v>829397</v>
      </c>
    </row>
    <row r="258" spans="1:16" ht="15.75">
      <c r="A258" s="13" t="s">
        <v>339</v>
      </c>
      <c r="B258" s="2">
        <v>7479</v>
      </c>
      <c r="C258" s="2">
        <v>10288</v>
      </c>
      <c r="D258" s="2">
        <v>1749</v>
      </c>
      <c r="E258" s="2">
        <v>9967</v>
      </c>
      <c r="F258" s="2">
        <v>34199</v>
      </c>
      <c r="G258" s="2">
        <v>45322</v>
      </c>
      <c r="H258" s="2">
        <v>4569</v>
      </c>
      <c r="I258" s="2">
        <v>37372</v>
      </c>
      <c r="J258" s="2">
        <v>464789</v>
      </c>
      <c r="K258" s="2">
        <v>38409</v>
      </c>
      <c r="L258" s="2">
        <v>48971</v>
      </c>
      <c r="M258" s="2">
        <v>66537</v>
      </c>
      <c r="N258" s="2">
        <v>36818</v>
      </c>
      <c r="O258" s="2">
        <v>39211</v>
      </c>
      <c r="P258" s="4">
        <f t="shared" si="49"/>
        <v>845680</v>
      </c>
    </row>
    <row r="259" spans="1:16" ht="15.75">
      <c r="A259" s="13" t="s">
        <v>340</v>
      </c>
      <c r="B259" s="2">
        <v>7199</v>
      </c>
      <c r="C259" s="2">
        <v>10115</v>
      </c>
      <c r="D259" s="2">
        <v>1589</v>
      </c>
      <c r="E259" s="2">
        <v>8186</v>
      </c>
      <c r="F259" s="2">
        <v>29513</v>
      </c>
      <c r="G259" s="2">
        <v>29200</v>
      </c>
      <c r="H259" s="2">
        <v>4466</v>
      </c>
      <c r="I259" s="2">
        <v>35685</v>
      </c>
      <c r="J259" s="2">
        <v>451734</v>
      </c>
      <c r="K259" s="2">
        <v>34135</v>
      </c>
      <c r="L259" s="2">
        <v>42291</v>
      </c>
      <c r="M259" s="2">
        <v>59792</v>
      </c>
      <c r="N259" s="2">
        <v>36035</v>
      </c>
      <c r="O259" s="2">
        <v>38376</v>
      </c>
      <c r="P259" s="4">
        <f>SUM(B259:O259)</f>
        <v>788316</v>
      </c>
    </row>
    <row r="260" spans="1:16" ht="15.75">
      <c r="A260" s="13" t="s">
        <v>341</v>
      </c>
      <c r="B260" s="2">
        <v>6600</v>
      </c>
      <c r="C260" s="2">
        <v>8565</v>
      </c>
      <c r="D260" s="2">
        <v>1858</v>
      </c>
      <c r="E260" s="2">
        <v>4754</v>
      </c>
      <c r="F260" s="2">
        <v>24702</v>
      </c>
      <c r="G260" s="2">
        <v>33648</v>
      </c>
      <c r="H260" s="2">
        <v>3406</v>
      </c>
      <c r="I260" s="2">
        <v>30458</v>
      </c>
      <c r="J260" s="2">
        <v>435678</v>
      </c>
      <c r="K260" s="2">
        <v>30869</v>
      </c>
      <c r="L260" s="2">
        <v>49391</v>
      </c>
      <c r="M260" s="2">
        <v>57361</v>
      </c>
      <c r="N260" s="2">
        <v>30414</v>
      </c>
      <c r="O260" s="2">
        <v>37039</v>
      </c>
      <c r="P260" s="4">
        <f t="shared" si="49"/>
        <v>754743</v>
      </c>
    </row>
    <row r="261" spans="1:16" ht="15.75">
      <c r="A261" s="52" t="s">
        <v>74</v>
      </c>
      <c r="B261" s="2">
        <f>SUM(B252:B260)</f>
        <v>81097</v>
      </c>
      <c r="C261" s="2">
        <f>SUM(C252:C260)</f>
        <v>121087</v>
      </c>
      <c r="D261" s="2">
        <f aca="true" t="shared" si="50" ref="D261:P261">SUM(D249:D260)</f>
        <v>19347</v>
      </c>
      <c r="E261" s="2">
        <f t="shared" si="50"/>
        <v>112471</v>
      </c>
      <c r="F261" s="2">
        <f t="shared" si="50"/>
        <v>381075</v>
      </c>
      <c r="G261" s="2">
        <f t="shared" si="50"/>
        <v>558401</v>
      </c>
      <c r="H261" s="2">
        <f t="shared" si="50"/>
        <v>179357</v>
      </c>
      <c r="I261" s="2">
        <f t="shared" si="50"/>
        <v>467019</v>
      </c>
      <c r="J261" s="2">
        <f t="shared" si="50"/>
        <v>5634355</v>
      </c>
      <c r="K261" s="2">
        <f t="shared" si="50"/>
        <v>472652</v>
      </c>
      <c r="L261" s="2">
        <f t="shared" si="50"/>
        <v>340325</v>
      </c>
      <c r="M261" s="2">
        <f t="shared" si="50"/>
        <v>886364</v>
      </c>
      <c r="N261" s="2">
        <f t="shared" si="50"/>
        <v>472431</v>
      </c>
      <c r="O261" s="2">
        <f t="shared" si="50"/>
        <v>487460</v>
      </c>
      <c r="P261" s="2">
        <f t="shared" si="50"/>
        <v>10254452</v>
      </c>
    </row>
    <row r="262" spans="1:16" ht="15.75">
      <c r="A262" s="82" t="s">
        <v>410</v>
      </c>
      <c r="B262" s="100">
        <f>B261/12</f>
        <v>6758.083333333333</v>
      </c>
      <c r="C262" s="100">
        <f aca="true" t="shared" si="51" ref="C262:P262">C261/12</f>
        <v>10090.583333333334</v>
      </c>
      <c r="D262" s="100">
        <f t="shared" si="51"/>
        <v>1612.25</v>
      </c>
      <c r="E262" s="100">
        <f t="shared" si="51"/>
        <v>9372.583333333334</v>
      </c>
      <c r="F262" s="100">
        <f t="shared" si="51"/>
        <v>31756.25</v>
      </c>
      <c r="G262" s="100">
        <f t="shared" si="51"/>
        <v>46533.416666666664</v>
      </c>
      <c r="H262" s="100">
        <f t="shared" si="51"/>
        <v>14946.416666666666</v>
      </c>
      <c r="I262" s="100">
        <f t="shared" si="51"/>
        <v>38918.25</v>
      </c>
      <c r="J262" s="100">
        <f t="shared" si="51"/>
        <v>469529.5833333333</v>
      </c>
      <c r="K262" s="100">
        <f t="shared" si="51"/>
        <v>39387.666666666664</v>
      </c>
      <c r="L262" s="100">
        <f t="shared" si="51"/>
        <v>28360.416666666668</v>
      </c>
      <c r="M262" s="100">
        <f t="shared" si="51"/>
        <v>73863.66666666667</v>
      </c>
      <c r="N262" s="100">
        <f t="shared" si="51"/>
        <v>39369.25</v>
      </c>
      <c r="O262" s="100">
        <f t="shared" si="51"/>
        <v>40621.666666666664</v>
      </c>
      <c r="P262" s="100">
        <f t="shared" si="51"/>
        <v>854537.6666666666</v>
      </c>
    </row>
    <row r="263" spans="1:16" ht="15.75">
      <c r="A263" s="82" t="s">
        <v>297</v>
      </c>
      <c r="B263" s="101">
        <f>B262/83</f>
        <v>81.4226907630522</v>
      </c>
      <c r="C263" s="101">
        <f>C262/121</f>
        <v>83.39325068870524</v>
      </c>
      <c r="D263" s="101">
        <f>D262/30</f>
        <v>53.74166666666667</v>
      </c>
      <c r="E263" s="101">
        <f>E262/199</f>
        <v>47.09840871021776</v>
      </c>
      <c r="F263" s="101">
        <f>F262/633</f>
        <v>50.16785150078989</v>
      </c>
      <c r="G263" s="101">
        <f>G262/372</f>
        <v>125.08982974910394</v>
      </c>
      <c r="H263" s="101">
        <f>H262/314</f>
        <v>47.600053078556265</v>
      </c>
      <c r="I263" s="101">
        <f>I262/350</f>
        <v>111.195</v>
      </c>
      <c r="J263" s="101">
        <f>J262/1480</f>
        <v>317.2497184684685</v>
      </c>
      <c r="K263" s="101">
        <f>K262/448</f>
        <v>87.91889880952381</v>
      </c>
      <c r="L263" s="86">
        <f>L262/774</f>
        <v>36.64136520241171</v>
      </c>
      <c r="M263" s="101">
        <f>M262/990</f>
        <v>74.60976430976432</v>
      </c>
      <c r="N263" s="101">
        <f>N262/464</f>
        <v>84.84752155172414</v>
      </c>
      <c r="O263" s="101">
        <f>O262/462</f>
        <v>87.92568542568542</v>
      </c>
      <c r="P263" s="74">
        <f>P262/6720</f>
        <v>127.16334325396825</v>
      </c>
    </row>
    <row r="264" spans="1:16" ht="15.75">
      <c r="A264" s="82" t="s">
        <v>411</v>
      </c>
      <c r="B264" s="86">
        <v>3.8</v>
      </c>
      <c r="C264" s="86">
        <v>3.8</v>
      </c>
      <c r="D264" s="86">
        <v>3.8</v>
      </c>
      <c r="E264" s="86">
        <v>3.8</v>
      </c>
      <c r="F264" s="86">
        <v>3.8</v>
      </c>
      <c r="G264" s="86">
        <v>3.8</v>
      </c>
      <c r="H264" s="86">
        <v>3.8</v>
      </c>
      <c r="I264" s="86">
        <v>3.8</v>
      </c>
      <c r="J264" s="86">
        <v>3.8</v>
      </c>
      <c r="K264" s="86">
        <v>3.8</v>
      </c>
      <c r="L264" s="86">
        <v>3.8</v>
      </c>
      <c r="M264" s="86">
        <v>3.8</v>
      </c>
      <c r="N264" s="86">
        <v>3.8</v>
      </c>
      <c r="O264" s="86">
        <v>3.8</v>
      </c>
      <c r="P264" s="86">
        <v>3.8</v>
      </c>
    </row>
    <row r="265" spans="1:16" ht="15.75">
      <c r="A265" s="82" t="s">
        <v>412</v>
      </c>
      <c r="B265" s="101">
        <f>B264*B263</f>
        <v>309.4062248995983</v>
      </c>
      <c r="C265" s="101">
        <f aca="true" t="shared" si="52" ref="C265:P265">C264*C263</f>
        <v>316.8943526170799</v>
      </c>
      <c r="D265" s="101">
        <f t="shared" si="52"/>
        <v>204.21833333333333</v>
      </c>
      <c r="E265" s="101">
        <f t="shared" si="52"/>
        <v>178.97395309882748</v>
      </c>
      <c r="F265" s="101">
        <f t="shared" si="52"/>
        <v>190.63783570300157</v>
      </c>
      <c r="G265" s="101">
        <f t="shared" si="52"/>
        <v>475.341353046595</v>
      </c>
      <c r="H265" s="101">
        <f t="shared" si="52"/>
        <v>180.8802016985138</v>
      </c>
      <c r="I265" s="101">
        <f t="shared" si="52"/>
        <v>422.54099999999994</v>
      </c>
      <c r="J265" s="101">
        <f t="shared" si="52"/>
        <v>1205.5489301801802</v>
      </c>
      <c r="K265" s="101">
        <f t="shared" si="52"/>
        <v>334.09181547619045</v>
      </c>
      <c r="L265" s="101">
        <f t="shared" si="52"/>
        <v>139.2371877691645</v>
      </c>
      <c r="M265" s="101">
        <f t="shared" si="52"/>
        <v>283.5171043771044</v>
      </c>
      <c r="N265" s="101">
        <f t="shared" si="52"/>
        <v>322.4205818965517</v>
      </c>
      <c r="O265" s="101">
        <f t="shared" si="52"/>
        <v>334.11760461760457</v>
      </c>
      <c r="P265" s="101">
        <f t="shared" si="52"/>
        <v>483.2207043650793</v>
      </c>
    </row>
    <row r="266" spans="1:16" ht="22.5">
      <c r="A266" s="79" t="s">
        <v>296</v>
      </c>
      <c r="B266" s="87">
        <f>B265*12/2.5</f>
        <v>1485.1498795180719</v>
      </c>
      <c r="C266" s="87">
        <f aca="true" t="shared" si="53" ref="C266:P266">C265*12/2.5</f>
        <v>1521.0928925619835</v>
      </c>
      <c r="D266" s="87">
        <f t="shared" si="53"/>
        <v>980.2479999999999</v>
      </c>
      <c r="E266" s="87">
        <f t="shared" si="53"/>
        <v>859.074974874372</v>
      </c>
      <c r="F266" s="87">
        <f t="shared" si="53"/>
        <v>915.0616113744076</v>
      </c>
      <c r="G266" s="87">
        <f t="shared" si="53"/>
        <v>2281.638494623656</v>
      </c>
      <c r="H266" s="87">
        <f t="shared" si="53"/>
        <v>868.2249681528662</v>
      </c>
      <c r="I266" s="87">
        <f t="shared" si="53"/>
        <v>2028.1967999999997</v>
      </c>
      <c r="J266" s="87">
        <f t="shared" si="53"/>
        <v>5786.634864864865</v>
      </c>
      <c r="K266" s="87">
        <f t="shared" si="53"/>
        <v>1603.640714285714</v>
      </c>
      <c r="L266" s="87">
        <f t="shared" si="53"/>
        <v>668.3385012919896</v>
      </c>
      <c r="M266" s="87">
        <f t="shared" si="53"/>
        <v>1360.882101010101</v>
      </c>
      <c r="N266" s="87">
        <f t="shared" si="53"/>
        <v>1547.618793103448</v>
      </c>
      <c r="O266" s="87">
        <f t="shared" si="53"/>
        <v>1603.764502164502</v>
      </c>
      <c r="P266" s="96">
        <f t="shared" si="53"/>
        <v>2319.459380952381</v>
      </c>
    </row>
    <row r="267" ht="21" customHeight="1">
      <c r="A267" s="99"/>
    </row>
    <row r="269" spans="1:16" ht="15.75">
      <c r="A269" s="2" t="s">
        <v>18</v>
      </c>
      <c r="B269" s="16" t="s">
        <v>0</v>
      </c>
      <c r="C269" s="16" t="s">
        <v>1</v>
      </c>
      <c r="D269" s="16" t="s">
        <v>2</v>
      </c>
      <c r="E269" s="16" t="s">
        <v>3</v>
      </c>
      <c r="F269" s="16" t="s">
        <v>70</v>
      </c>
      <c r="G269" s="16" t="s">
        <v>6</v>
      </c>
      <c r="H269" s="16" t="s">
        <v>7</v>
      </c>
      <c r="I269" s="16" t="s">
        <v>8</v>
      </c>
      <c r="J269" s="16" t="s">
        <v>191</v>
      </c>
      <c r="K269" s="16" t="s">
        <v>11</v>
      </c>
      <c r="L269" s="16" t="s">
        <v>13</v>
      </c>
      <c r="M269" s="56" t="s">
        <v>192</v>
      </c>
      <c r="N269" s="2" t="s">
        <v>217</v>
      </c>
      <c r="O269" s="2" t="s">
        <v>218</v>
      </c>
      <c r="P269" s="3" t="s">
        <v>68</v>
      </c>
    </row>
    <row r="270" spans="1:16" ht="15.75">
      <c r="A270" s="13" t="s">
        <v>367</v>
      </c>
      <c r="B270" s="2">
        <v>5335</v>
      </c>
      <c r="C270" s="2">
        <v>6795</v>
      </c>
      <c r="D270" s="2">
        <v>0</v>
      </c>
      <c r="E270" s="2">
        <v>4686</v>
      </c>
      <c r="F270" s="2">
        <v>25909</v>
      </c>
      <c r="G270" s="2">
        <v>27307</v>
      </c>
      <c r="H270" s="2">
        <v>16440</v>
      </c>
      <c r="I270" s="2">
        <v>32398</v>
      </c>
      <c r="J270" s="2">
        <v>202420</v>
      </c>
      <c r="K270" s="2">
        <v>46861</v>
      </c>
      <c r="L270" s="2">
        <v>38183</v>
      </c>
      <c r="M270" s="2">
        <v>60293</v>
      </c>
      <c r="N270" s="2">
        <v>38292</v>
      </c>
      <c r="O270" s="2">
        <v>37596</v>
      </c>
      <c r="P270" s="4">
        <f aca="true" t="shared" si="54" ref="P270:P279">SUM(B270:O270)</f>
        <v>542515</v>
      </c>
    </row>
    <row r="271" spans="1:16" ht="15.75">
      <c r="A271" s="13" t="s">
        <v>356</v>
      </c>
      <c r="B271" s="2">
        <v>5193</v>
      </c>
      <c r="C271" s="2">
        <v>6696</v>
      </c>
      <c r="D271" s="2">
        <v>2235</v>
      </c>
      <c r="E271" s="2">
        <v>2787</v>
      </c>
      <c r="F271" s="2">
        <v>23286</v>
      </c>
      <c r="G271" s="2">
        <v>21764</v>
      </c>
      <c r="H271" s="2">
        <v>321</v>
      </c>
      <c r="I271" s="2">
        <v>18049</v>
      </c>
      <c r="J271" s="2">
        <v>383028</v>
      </c>
      <c r="K271" s="2">
        <v>2389</v>
      </c>
      <c r="L271" s="2">
        <v>35832</v>
      </c>
      <c r="M271" s="1">
        <v>49214</v>
      </c>
      <c r="N271" s="2">
        <v>34218</v>
      </c>
      <c r="O271" s="2">
        <v>38646</v>
      </c>
      <c r="P271" s="4">
        <f t="shared" si="54"/>
        <v>623658</v>
      </c>
    </row>
    <row r="272" spans="1:16" ht="15.75">
      <c r="A272" s="13" t="s">
        <v>357</v>
      </c>
      <c r="B272" s="2">
        <v>3954</v>
      </c>
      <c r="C272" s="2">
        <v>5246</v>
      </c>
      <c r="D272" s="2">
        <v>2232</v>
      </c>
      <c r="E272" s="2">
        <v>8127</v>
      </c>
      <c r="F272" s="2">
        <v>21618</v>
      </c>
      <c r="G272" s="2">
        <v>27948</v>
      </c>
      <c r="H272" s="2">
        <v>462</v>
      </c>
      <c r="I272" s="2">
        <v>26708</v>
      </c>
      <c r="J272" s="2">
        <v>602393</v>
      </c>
      <c r="K272" s="2">
        <v>30905</v>
      </c>
      <c r="L272" s="2">
        <v>42924</v>
      </c>
      <c r="M272" s="2">
        <v>56643</v>
      </c>
      <c r="N272" s="2">
        <v>28751</v>
      </c>
      <c r="O272" s="2">
        <v>34557</v>
      </c>
      <c r="P272" s="97">
        <v>892467</v>
      </c>
    </row>
    <row r="273" spans="1:16" ht="15.75">
      <c r="A273" s="13" t="s">
        <v>358</v>
      </c>
      <c r="B273" s="2">
        <v>16284</v>
      </c>
      <c r="C273" s="2">
        <v>13800</v>
      </c>
      <c r="D273" s="2">
        <v>1747</v>
      </c>
      <c r="E273" s="2">
        <v>8928</v>
      </c>
      <c r="F273" s="2">
        <v>33564</v>
      </c>
      <c r="G273" s="2">
        <v>41744</v>
      </c>
      <c r="H273" s="2">
        <v>0</v>
      </c>
      <c r="I273" s="2">
        <v>35753</v>
      </c>
      <c r="J273" s="2">
        <v>664241</v>
      </c>
      <c r="K273" s="2">
        <v>41545</v>
      </c>
      <c r="L273" s="2">
        <v>56924</v>
      </c>
      <c r="M273" s="2">
        <v>60742</v>
      </c>
      <c r="N273" s="2">
        <v>34888</v>
      </c>
      <c r="O273" s="2">
        <v>39965</v>
      </c>
      <c r="P273" s="4">
        <f t="shared" si="54"/>
        <v>1050125</v>
      </c>
    </row>
    <row r="274" spans="1:16" ht="15.75">
      <c r="A274" s="13" t="s">
        <v>359</v>
      </c>
      <c r="B274" s="2">
        <v>12719</v>
      </c>
      <c r="C274" s="2">
        <v>15059</v>
      </c>
      <c r="D274" s="2">
        <v>1621</v>
      </c>
      <c r="E274" s="2">
        <v>8157</v>
      </c>
      <c r="F274" s="2">
        <v>30669</v>
      </c>
      <c r="G274" s="2">
        <v>38519</v>
      </c>
      <c r="H274" s="2">
        <v>3741</v>
      </c>
      <c r="I274" s="2">
        <v>32463</v>
      </c>
      <c r="J274" s="2">
        <v>523792</v>
      </c>
      <c r="K274" s="2">
        <v>38107</v>
      </c>
      <c r="L274" s="2">
        <v>52526</v>
      </c>
      <c r="M274" s="2">
        <v>86522</v>
      </c>
      <c r="N274" s="2">
        <v>32381</v>
      </c>
      <c r="O274" s="2">
        <v>37094</v>
      </c>
      <c r="P274" s="4">
        <f t="shared" si="54"/>
        <v>913370</v>
      </c>
    </row>
    <row r="275" spans="1:16" ht="15.75">
      <c r="A275" s="13" t="s">
        <v>360</v>
      </c>
      <c r="B275" s="2">
        <v>7897</v>
      </c>
      <c r="C275" s="2">
        <v>10038</v>
      </c>
      <c r="D275" s="2">
        <v>1883</v>
      </c>
      <c r="E275" s="2">
        <v>19509</v>
      </c>
      <c r="F275" s="2">
        <v>71014</v>
      </c>
      <c r="G275" s="2">
        <v>95338</v>
      </c>
      <c r="H275" s="2">
        <v>4670</v>
      </c>
      <c r="I275" s="2">
        <v>66854</v>
      </c>
      <c r="J275" s="2">
        <v>629650</v>
      </c>
      <c r="K275" s="2">
        <v>84941</v>
      </c>
      <c r="L275" s="2">
        <v>61793</v>
      </c>
      <c r="M275" s="2">
        <v>98712</v>
      </c>
      <c r="N275" s="2">
        <v>49477</v>
      </c>
      <c r="O275" s="2">
        <v>54630</v>
      </c>
      <c r="P275" s="4">
        <f t="shared" si="54"/>
        <v>1256406</v>
      </c>
    </row>
    <row r="276" spans="1:16" ht="15.75">
      <c r="A276" s="13" t="s">
        <v>361</v>
      </c>
      <c r="B276" s="2">
        <v>8886</v>
      </c>
      <c r="C276" s="2">
        <v>10063</v>
      </c>
      <c r="D276" s="2">
        <v>1923</v>
      </c>
      <c r="E276" s="2">
        <v>17554</v>
      </c>
      <c r="F276" s="2">
        <v>62566</v>
      </c>
      <c r="G276" s="2">
        <v>92763</v>
      </c>
      <c r="H276" s="2">
        <v>8276</v>
      </c>
      <c r="I276" s="2">
        <v>41572</v>
      </c>
      <c r="J276" s="2">
        <v>646747</v>
      </c>
      <c r="K276" s="2">
        <v>54219</v>
      </c>
      <c r="L276" s="2">
        <v>61198</v>
      </c>
      <c r="M276" s="2">
        <v>98439</v>
      </c>
      <c r="N276" s="2">
        <v>50547</v>
      </c>
      <c r="O276" s="2">
        <v>47102</v>
      </c>
      <c r="P276" s="4">
        <f t="shared" si="54"/>
        <v>1201855</v>
      </c>
    </row>
    <row r="277" spans="1:16" ht="15.75">
      <c r="A277" s="13" t="s">
        <v>362</v>
      </c>
      <c r="B277" s="2">
        <v>19122</v>
      </c>
      <c r="C277" s="2">
        <v>27831</v>
      </c>
      <c r="D277" s="2">
        <v>929</v>
      </c>
      <c r="E277" s="2">
        <v>1372</v>
      </c>
      <c r="F277" s="2">
        <v>11723</v>
      </c>
      <c r="G277" s="2">
        <v>4988</v>
      </c>
      <c r="H277" s="2">
        <v>2376</v>
      </c>
      <c r="I277" s="2">
        <v>68714</v>
      </c>
      <c r="J277" s="2">
        <v>391006</v>
      </c>
      <c r="K277" s="2">
        <v>37932</v>
      </c>
      <c r="L277" s="2">
        <v>3118</v>
      </c>
      <c r="M277" s="2">
        <v>66088</v>
      </c>
      <c r="N277" s="2">
        <v>36690</v>
      </c>
      <c r="O277" s="2">
        <v>45756</v>
      </c>
      <c r="P277" s="4">
        <f t="shared" si="54"/>
        <v>717645</v>
      </c>
    </row>
    <row r="278" spans="1:16" ht="15.75">
      <c r="A278" s="13" t="s">
        <v>363</v>
      </c>
      <c r="B278" s="2">
        <v>11796</v>
      </c>
      <c r="C278" s="2">
        <v>16821</v>
      </c>
      <c r="D278" s="2">
        <v>1991</v>
      </c>
      <c r="E278" s="2">
        <v>11375</v>
      </c>
      <c r="F278" s="2">
        <v>55985</v>
      </c>
      <c r="G278" s="2">
        <v>81308</v>
      </c>
      <c r="H278" s="2">
        <v>33189</v>
      </c>
      <c r="I278" s="2">
        <v>30628</v>
      </c>
      <c r="J278" s="2">
        <v>294489</v>
      </c>
      <c r="K278" s="2">
        <v>65616</v>
      </c>
      <c r="L278" s="2">
        <v>44235</v>
      </c>
      <c r="M278" s="2">
        <v>109030</v>
      </c>
      <c r="N278" s="2">
        <v>49214</v>
      </c>
      <c r="O278" s="2">
        <v>59264</v>
      </c>
      <c r="P278" s="4">
        <f t="shared" si="54"/>
        <v>864941</v>
      </c>
    </row>
    <row r="279" spans="1:16" ht="15.75">
      <c r="A279" s="13" t="s">
        <v>364</v>
      </c>
      <c r="B279" s="2">
        <v>7188</v>
      </c>
      <c r="C279" s="2">
        <v>12048</v>
      </c>
      <c r="D279" s="2">
        <v>1566</v>
      </c>
      <c r="E279" s="2">
        <v>6813</v>
      </c>
      <c r="F279" s="2">
        <v>29783</v>
      </c>
      <c r="G279" s="2">
        <v>36356</v>
      </c>
      <c r="H279" s="2">
        <v>20156</v>
      </c>
      <c r="I279" s="2">
        <v>34330</v>
      </c>
      <c r="J279" s="2">
        <v>221486</v>
      </c>
      <c r="K279" s="2">
        <v>30919</v>
      </c>
      <c r="L279" s="2">
        <v>47977</v>
      </c>
      <c r="M279" s="2">
        <v>66381</v>
      </c>
      <c r="N279" s="2">
        <v>30816</v>
      </c>
      <c r="O279" s="2">
        <v>78721</v>
      </c>
      <c r="P279" s="4">
        <f t="shared" si="54"/>
        <v>624540</v>
      </c>
    </row>
    <row r="280" spans="1:16" ht="15.75">
      <c r="A280" s="13" t="s">
        <v>365</v>
      </c>
      <c r="B280" s="2">
        <v>6382</v>
      </c>
      <c r="C280" s="2">
        <v>11259</v>
      </c>
      <c r="D280" s="2">
        <v>1722</v>
      </c>
      <c r="E280" s="2">
        <v>6358</v>
      </c>
      <c r="F280" s="2">
        <v>32240</v>
      </c>
      <c r="G280" s="2">
        <v>34598</v>
      </c>
      <c r="H280" s="2">
        <v>21267</v>
      </c>
      <c r="I280" s="2">
        <v>38311</v>
      </c>
      <c r="J280" s="2">
        <v>256160</v>
      </c>
      <c r="K280" s="2">
        <v>34713</v>
      </c>
      <c r="L280" s="2">
        <v>51554</v>
      </c>
      <c r="M280" s="2">
        <v>68581</v>
      </c>
      <c r="N280" s="2">
        <v>37864</v>
      </c>
      <c r="O280" s="2">
        <v>6625</v>
      </c>
      <c r="P280" s="4">
        <f>SUM(B280:O280)</f>
        <v>607634</v>
      </c>
    </row>
    <row r="281" spans="1:16" ht="15.75">
      <c r="A281" s="13" t="s">
        <v>366</v>
      </c>
      <c r="B281" s="2">
        <v>6379</v>
      </c>
      <c r="C281" s="2">
        <v>11433</v>
      </c>
      <c r="D281" s="2">
        <v>1867</v>
      </c>
      <c r="E281" s="2">
        <v>4765</v>
      </c>
      <c r="F281" s="2">
        <v>25728</v>
      </c>
      <c r="G281" s="2">
        <v>28686</v>
      </c>
      <c r="H281" s="2">
        <v>18096</v>
      </c>
      <c r="I281" s="2">
        <v>32242</v>
      </c>
      <c r="J281" s="2">
        <v>260449</v>
      </c>
      <c r="K281" s="2">
        <v>33072</v>
      </c>
      <c r="L281" s="2">
        <v>49786</v>
      </c>
      <c r="M281" s="2">
        <v>61199</v>
      </c>
      <c r="N281" s="2">
        <v>35196</v>
      </c>
      <c r="O281" s="2">
        <v>44427</v>
      </c>
      <c r="P281" s="4">
        <f>SUM(B281:O281)</f>
        <v>613325</v>
      </c>
    </row>
    <row r="282" spans="1:16" ht="15.75">
      <c r="A282" s="52" t="s">
        <v>74</v>
      </c>
      <c r="B282" s="2">
        <f>SUM(B273:B281)</f>
        <v>96653</v>
      </c>
      <c r="C282" s="2">
        <f>SUM(C273:C281)</f>
        <v>128352</v>
      </c>
      <c r="D282" s="2">
        <f aca="true" t="shared" si="55" ref="D282:P282">SUM(D270:D281)</f>
        <v>19716</v>
      </c>
      <c r="E282" s="2">
        <f t="shared" si="55"/>
        <v>100431</v>
      </c>
      <c r="F282" s="2">
        <f t="shared" si="55"/>
        <v>424085</v>
      </c>
      <c r="G282" s="2">
        <f t="shared" si="55"/>
        <v>531319</v>
      </c>
      <c r="H282" s="2">
        <f t="shared" si="55"/>
        <v>128994</v>
      </c>
      <c r="I282" s="2">
        <f t="shared" si="55"/>
        <v>458022</v>
      </c>
      <c r="J282" s="2">
        <f t="shared" si="55"/>
        <v>5075861</v>
      </c>
      <c r="K282" s="2">
        <f t="shared" si="55"/>
        <v>501219</v>
      </c>
      <c r="L282" s="2">
        <f t="shared" si="55"/>
        <v>546050</v>
      </c>
      <c r="M282" s="2">
        <f t="shared" si="55"/>
        <v>881844</v>
      </c>
      <c r="N282" s="2">
        <f t="shared" si="55"/>
        <v>458334</v>
      </c>
      <c r="O282" s="2">
        <f t="shared" si="55"/>
        <v>524383</v>
      </c>
      <c r="P282" s="2">
        <f t="shared" si="55"/>
        <v>9908481</v>
      </c>
    </row>
    <row r="283" spans="1:16" ht="15.75">
      <c r="A283" s="82" t="s">
        <v>410</v>
      </c>
      <c r="B283" s="100">
        <f>B282/12</f>
        <v>8054.416666666667</v>
      </c>
      <c r="C283" s="100">
        <f aca="true" t="shared" si="56" ref="C283:I283">C282/12</f>
        <v>10696</v>
      </c>
      <c r="D283" s="100">
        <f t="shared" si="56"/>
        <v>1643</v>
      </c>
      <c r="E283" s="100">
        <f t="shared" si="56"/>
        <v>8369.25</v>
      </c>
      <c r="F283" s="100">
        <f t="shared" si="56"/>
        <v>35340.416666666664</v>
      </c>
      <c r="G283" s="100">
        <f t="shared" si="56"/>
        <v>44276.583333333336</v>
      </c>
      <c r="H283" s="100">
        <f t="shared" si="56"/>
        <v>10749.5</v>
      </c>
      <c r="I283" s="100">
        <f t="shared" si="56"/>
        <v>38168.5</v>
      </c>
      <c r="J283" s="100">
        <f aca="true" t="shared" si="57" ref="J283:P283">J282/12</f>
        <v>422988.4166666667</v>
      </c>
      <c r="K283" s="100">
        <f t="shared" si="57"/>
        <v>41768.25</v>
      </c>
      <c r="L283" s="100">
        <f t="shared" si="57"/>
        <v>45504.166666666664</v>
      </c>
      <c r="M283" s="100">
        <f t="shared" si="57"/>
        <v>73487</v>
      </c>
      <c r="N283" s="100">
        <f t="shared" si="57"/>
        <v>38194.5</v>
      </c>
      <c r="O283" s="100">
        <f t="shared" si="57"/>
        <v>43698.583333333336</v>
      </c>
      <c r="P283" s="100">
        <f t="shared" si="57"/>
        <v>825706.75</v>
      </c>
    </row>
    <row r="284" spans="1:16" ht="15.75">
      <c r="A284" s="82" t="s">
        <v>297</v>
      </c>
      <c r="B284" s="101">
        <f>B283/83</f>
        <v>97.04116465863454</v>
      </c>
      <c r="C284" s="101">
        <f>C283/121</f>
        <v>88.39669421487604</v>
      </c>
      <c r="D284" s="101">
        <f>D283/30</f>
        <v>54.766666666666666</v>
      </c>
      <c r="E284" s="101">
        <f>E283/199</f>
        <v>42.05653266331658</v>
      </c>
      <c r="F284" s="101">
        <f>F283/633</f>
        <v>55.83004212743549</v>
      </c>
      <c r="G284" s="101">
        <f>G283/372</f>
        <v>119.02307347670252</v>
      </c>
      <c r="H284" s="101">
        <f>H283/314</f>
        <v>34.23407643312102</v>
      </c>
      <c r="I284" s="101">
        <f>I283/350</f>
        <v>109.05285714285715</v>
      </c>
      <c r="J284" s="101">
        <f>J283/1580</f>
        <v>267.7141877637131</v>
      </c>
      <c r="K284" s="101">
        <f>K283/448</f>
        <v>93.23270089285714</v>
      </c>
      <c r="L284" s="101">
        <f>L283/774</f>
        <v>58.790913006029285</v>
      </c>
      <c r="M284" s="101">
        <f>M283/990</f>
        <v>74.22929292929292</v>
      </c>
      <c r="N284" s="101">
        <f>N283/464</f>
        <v>82.31573275862068</v>
      </c>
      <c r="O284" s="101">
        <f>O283/462</f>
        <v>94.58567821067821</v>
      </c>
      <c r="P284" s="101">
        <f>P283/6720</f>
        <v>122.87302827380952</v>
      </c>
    </row>
    <row r="285" spans="1:16" ht="15.75">
      <c r="A285" s="82" t="s">
        <v>411</v>
      </c>
      <c r="B285" s="86">
        <v>3.8</v>
      </c>
      <c r="C285" s="86">
        <v>3.8</v>
      </c>
      <c r="D285" s="86">
        <v>3.8</v>
      </c>
      <c r="E285" s="86">
        <v>3.8</v>
      </c>
      <c r="F285" s="86">
        <v>3.8</v>
      </c>
      <c r="G285" s="86">
        <v>3.8</v>
      </c>
      <c r="H285" s="86">
        <v>3.8</v>
      </c>
      <c r="I285" s="86">
        <v>3.8</v>
      </c>
      <c r="J285" s="86">
        <v>3.8</v>
      </c>
      <c r="K285" s="86">
        <v>3.8</v>
      </c>
      <c r="L285" s="86">
        <v>3.8</v>
      </c>
      <c r="M285" s="86">
        <v>3.8</v>
      </c>
      <c r="N285" s="86">
        <v>3.8</v>
      </c>
      <c r="O285" s="86">
        <v>3.8</v>
      </c>
      <c r="P285" s="86">
        <v>3.8</v>
      </c>
    </row>
    <row r="286" spans="1:16" ht="15.75">
      <c r="A286" s="82" t="s">
        <v>412</v>
      </c>
      <c r="B286" s="101">
        <f>B284*B285</f>
        <v>368.75642570281127</v>
      </c>
      <c r="C286" s="101">
        <f aca="true" t="shared" si="58" ref="C286:P286">C284*C285</f>
        <v>335.90743801652894</v>
      </c>
      <c r="D286" s="101">
        <f t="shared" si="58"/>
        <v>208.11333333333332</v>
      </c>
      <c r="E286" s="101">
        <f t="shared" si="58"/>
        <v>159.814824120603</v>
      </c>
      <c r="F286" s="101">
        <f t="shared" si="58"/>
        <v>212.15416008425484</v>
      </c>
      <c r="G286" s="101">
        <f t="shared" si="58"/>
        <v>452.28767921146954</v>
      </c>
      <c r="H286" s="101">
        <f t="shared" si="58"/>
        <v>130.08949044585987</v>
      </c>
      <c r="I286" s="101">
        <f t="shared" si="58"/>
        <v>414.40085714285715</v>
      </c>
      <c r="J286" s="101">
        <f t="shared" si="58"/>
        <v>1017.3139135021097</v>
      </c>
      <c r="K286" s="101">
        <f t="shared" si="58"/>
        <v>354.2842633928571</v>
      </c>
      <c r="L286" s="101">
        <f t="shared" si="58"/>
        <v>223.40546942291127</v>
      </c>
      <c r="M286" s="101">
        <f t="shared" si="58"/>
        <v>282.0713131313131</v>
      </c>
      <c r="N286" s="101">
        <f t="shared" si="58"/>
        <v>312.7997844827586</v>
      </c>
      <c r="O286" s="101">
        <f t="shared" si="58"/>
        <v>359.4255772005772</v>
      </c>
      <c r="P286" s="101">
        <f t="shared" si="58"/>
        <v>466.9175074404762</v>
      </c>
    </row>
    <row r="287" spans="1:16" ht="22.5">
      <c r="A287" s="79" t="s">
        <v>296</v>
      </c>
      <c r="B287" s="87">
        <f>B286*12/2.5</f>
        <v>1770.0308433734942</v>
      </c>
      <c r="C287" s="87">
        <f aca="true" t="shared" si="59" ref="C287:P287">C286*12/2.5</f>
        <v>1612.355702479339</v>
      </c>
      <c r="D287" s="87">
        <f t="shared" si="59"/>
        <v>998.9439999999998</v>
      </c>
      <c r="E287" s="87">
        <f t="shared" si="59"/>
        <v>767.1111557788943</v>
      </c>
      <c r="F287" s="87">
        <f t="shared" si="59"/>
        <v>1018.3399684044232</v>
      </c>
      <c r="G287" s="87">
        <f t="shared" si="59"/>
        <v>2170.980860215054</v>
      </c>
      <c r="H287" s="87">
        <f t="shared" si="59"/>
        <v>624.4295541401274</v>
      </c>
      <c r="I287" s="87">
        <f t="shared" si="59"/>
        <v>1989.1241142857143</v>
      </c>
      <c r="J287" s="87">
        <f t="shared" si="59"/>
        <v>4883.106784810127</v>
      </c>
      <c r="K287" s="87">
        <f t="shared" si="59"/>
        <v>1700.564464285714</v>
      </c>
      <c r="L287" s="87">
        <f t="shared" si="59"/>
        <v>1072.346253229974</v>
      </c>
      <c r="M287" s="87">
        <f t="shared" si="59"/>
        <v>1353.9423030303028</v>
      </c>
      <c r="N287" s="87">
        <f t="shared" si="59"/>
        <v>1501.4389655172413</v>
      </c>
      <c r="O287" s="87">
        <f t="shared" si="59"/>
        <v>1725.2427705627706</v>
      </c>
      <c r="P287" s="96">
        <f t="shared" si="59"/>
        <v>2241.204035714286</v>
      </c>
    </row>
    <row r="288" ht="15.75">
      <c r="A288" s="99"/>
    </row>
    <row r="290" spans="1:16" ht="15.75">
      <c r="A290" s="2" t="s">
        <v>18</v>
      </c>
      <c r="B290" s="16" t="s">
        <v>0</v>
      </c>
      <c r="C290" s="16" t="s">
        <v>1</v>
      </c>
      <c r="D290" s="16" t="s">
        <v>2</v>
      </c>
      <c r="E290" s="16" t="s">
        <v>3</v>
      </c>
      <c r="F290" s="16" t="s">
        <v>70</v>
      </c>
      <c r="G290" s="16" t="s">
        <v>6</v>
      </c>
      <c r="H290" s="16" t="s">
        <v>7</v>
      </c>
      <c r="I290" s="16" t="s">
        <v>8</v>
      </c>
      <c r="J290" s="16" t="s">
        <v>191</v>
      </c>
      <c r="K290" s="16" t="s">
        <v>11</v>
      </c>
      <c r="L290" s="16" t="s">
        <v>13</v>
      </c>
      <c r="M290" s="56" t="s">
        <v>192</v>
      </c>
      <c r="N290" s="2" t="s">
        <v>217</v>
      </c>
      <c r="O290" s="2" t="s">
        <v>218</v>
      </c>
      <c r="P290" s="3" t="s">
        <v>68</v>
      </c>
    </row>
    <row r="291" spans="1:16" ht="15.75">
      <c r="A291" s="13" t="s">
        <v>380</v>
      </c>
      <c r="B291" s="2">
        <v>6040</v>
      </c>
      <c r="C291" s="2">
        <v>8946</v>
      </c>
      <c r="D291" s="2">
        <v>1729</v>
      </c>
      <c r="E291" s="2">
        <v>4328</v>
      </c>
      <c r="F291" s="2">
        <v>23326</v>
      </c>
      <c r="G291" s="2">
        <v>25733</v>
      </c>
      <c r="H291" s="2">
        <v>15514</v>
      </c>
      <c r="I291" s="2">
        <v>30684</v>
      </c>
      <c r="J291" s="2">
        <v>245443</v>
      </c>
      <c r="K291" s="2">
        <v>31581</v>
      </c>
      <c r="L291" s="2">
        <v>43863</v>
      </c>
      <c r="M291" s="2">
        <v>57647</v>
      </c>
      <c r="N291" s="2">
        <v>34695</v>
      </c>
      <c r="O291" s="2">
        <v>42949</v>
      </c>
      <c r="P291" s="4">
        <f aca="true" t="shared" si="60" ref="P291:P298">SUM(B291:O291)</f>
        <v>572478</v>
      </c>
    </row>
    <row r="292" spans="1:16" ht="15.75">
      <c r="A292" s="13" t="s">
        <v>381</v>
      </c>
      <c r="B292" s="2">
        <v>4687</v>
      </c>
      <c r="C292" s="2">
        <v>6627</v>
      </c>
      <c r="D292" s="2">
        <v>1115</v>
      </c>
      <c r="E292" s="2">
        <v>2855</v>
      </c>
      <c r="F292" s="2">
        <v>15810</v>
      </c>
      <c r="G292" s="2">
        <v>16436</v>
      </c>
      <c r="H292" s="2">
        <v>10588</v>
      </c>
      <c r="I292" s="2">
        <v>19895</v>
      </c>
      <c r="J292" s="2">
        <v>188552</v>
      </c>
      <c r="K292" s="2">
        <v>22598</v>
      </c>
      <c r="L292" s="2">
        <v>29194</v>
      </c>
      <c r="M292" s="1">
        <v>36166</v>
      </c>
      <c r="N292" s="2">
        <v>26652</v>
      </c>
      <c r="O292" s="2">
        <v>33248</v>
      </c>
      <c r="P292" s="4">
        <f t="shared" si="60"/>
        <v>414423</v>
      </c>
    </row>
    <row r="293" spans="1:16" ht="15.75">
      <c r="A293" s="13" t="s">
        <v>382</v>
      </c>
      <c r="B293" s="2">
        <v>5796</v>
      </c>
      <c r="C293" s="2">
        <v>8884</v>
      </c>
      <c r="D293" s="2">
        <v>1334</v>
      </c>
      <c r="E293" s="2">
        <v>5549</v>
      </c>
      <c r="F293" s="2">
        <v>27496</v>
      </c>
      <c r="G293" s="2">
        <v>31722</v>
      </c>
      <c r="H293" s="2">
        <v>19766</v>
      </c>
      <c r="I293" s="2">
        <v>32955</v>
      </c>
      <c r="J293" s="2">
        <v>245511</v>
      </c>
      <c r="K293" s="2">
        <v>34188</v>
      </c>
      <c r="L293" s="2">
        <v>47079</v>
      </c>
      <c r="M293" s="2">
        <v>62217</v>
      </c>
      <c r="N293" s="2">
        <v>34529</v>
      </c>
      <c r="O293" s="2">
        <v>43915</v>
      </c>
      <c r="P293" s="4">
        <f t="shared" si="60"/>
        <v>600941</v>
      </c>
    </row>
    <row r="294" spans="1:16" ht="15.75">
      <c r="A294" s="13" t="s">
        <v>383</v>
      </c>
      <c r="B294" s="2">
        <v>6757</v>
      </c>
      <c r="C294" s="2">
        <v>10815</v>
      </c>
      <c r="D294" s="2">
        <v>704</v>
      </c>
      <c r="E294" s="2">
        <v>7860</v>
      </c>
      <c r="F294" s="2">
        <v>36202</v>
      </c>
      <c r="G294" s="2">
        <v>42511</v>
      </c>
      <c r="H294" s="2">
        <v>25047</v>
      </c>
      <c r="I294" s="2">
        <v>39607</v>
      </c>
      <c r="J294" s="2">
        <v>256926</v>
      </c>
      <c r="K294" s="2">
        <v>41038</v>
      </c>
      <c r="L294" s="2">
        <v>53665</v>
      </c>
      <c r="M294" s="2">
        <v>60932</v>
      </c>
      <c r="N294" s="2">
        <v>33890</v>
      </c>
      <c r="O294" s="2">
        <v>43340</v>
      </c>
      <c r="P294" s="4">
        <f t="shared" si="60"/>
        <v>659294</v>
      </c>
    </row>
    <row r="295" spans="1:16" ht="15.75">
      <c r="A295" s="13" t="s">
        <v>384</v>
      </c>
      <c r="B295" s="2">
        <v>8288</v>
      </c>
      <c r="C295" s="2">
        <v>12824</v>
      </c>
      <c r="D295" s="2">
        <v>282</v>
      </c>
      <c r="E295" s="2">
        <v>11172</v>
      </c>
      <c r="F295" s="2">
        <v>47227</v>
      </c>
      <c r="G295" s="2">
        <v>60967</v>
      </c>
      <c r="H295" s="2">
        <v>31112</v>
      </c>
      <c r="I295" s="2">
        <v>46390</v>
      </c>
      <c r="J295" s="2">
        <v>273724</v>
      </c>
      <c r="K295" s="2">
        <v>51391</v>
      </c>
      <c r="L295" s="2">
        <v>60648</v>
      </c>
      <c r="M295" s="2">
        <v>84238</v>
      </c>
      <c r="N295" s="2">
        <v>36840</v>
      </c>
      <c r="O295" s="2">
        <v>47619</v>
      </c>
      <c r="P295" s="4">
        <f t="shared" si="60"/>
        <v>772722</v>
      </c>
    </row>
    <row r="296" spans="1:16" ht="15.75">
      <c r="A296" s="13" t="s">
        <v>385</v>
      </c>
      <c r="B296" s="2">
        <v>12489</v>
      </c>
      <c r="C296" s="2">
        <v>17689</v>
      </c>
      <c r="D296" s="2">
        <v>348</v>
      </c>
      <c r="E296" s="2">
        <v>16580</v>
      </c>
      <c r="F296" s="2">
        <v>69048</v>
      </c>
      <c r="G296" s="2">
        <v>99521</v>
      </c>
      <c r="H296" s="2">
        <v>42684</v>
      </c>
      <c r="I296" s="2">
        <v>66153</v>
      </c>
      <c r="J296" s="2">
        <v>344285</v>
      </c>
      <c r="K296" s="2">
        <v>89029</v>
      </c>
      <c r="L296" s="2">
        <v>71680</v>
      </c>
      <c r="M296" s="2">
        <v>124359</v>
      </c>
      <c r="N296" s="2">
        <v>51547</v>
      </c>
      <c r="O296" s="2">
        <v>62788</v>
      </c>
      <c r="P296" s="4">
        <f t="shared" si="60"/>
        <v>1068200</v>
      </c>
    </row>
    <row r="297" spans="1:16" ht="15.75">
      <c r="A297" s="13" t="s">
        <v>386</v>
      </c>
      <c r="B297" s="2">
        <v>13347</v>
      </c>
      <c r="C297" s="2">
        <v>17661</v>
      </c>
      <c r="D297" s="2">
        <v>247</v>
      </c>
      <c r="E297" s="2">
        <v>1993</v>
      </c>
      <c r="F297" s="2">
        <v>19243</v>
      </c>
      <c r="G297" s="2">
        <v>64375</v>
      </c>
      <c r="H297" s="2">
        <v>7290</v>
      </c>
      <c r="I297" s="2">
        <v>52645</v>
      </c>
      <c r="J297" s="2">
        <v>237264</v>
      </c>
      <c r="K297" s="2">
        <v>64376</v>
      </c>
      <c r="L297" s="2">
        <v>33721</v>
      </c>
      <c r="M297" s="2">
        <v>91691</v>
      </c>
      <c r="N297" s="2">
        <v>49402</v>
      </c>
      <c r="O297" s="2">
        <v>52939</v>
      </c>
      <c r="P297" s="4">
        <f t="shared" si="60"/>
        <v>706194</v>
      </c>
    </row>
    <row r="298" spans="1:16" ht="15.75">
      <c r="A298" s="13" t="s">
        <v>387</v>
      </c>
      <c r="B298" s="2">
        <v>10663</v>
      </c>
      <c r="C298" s="2">
        <v>14557</v>
      </c>
      <c r="D298" s="2">
        <v>233</v>
      </c>
      <c r="E298" s="2">
        <v>1423</v>
      </c>
      <c r="F298" s="2">
        <v>26412</v>
      </c>
      <c r="G298" s="2">
        <v>50040</v>
      </c>
      <c r="H298" s="2">
        <v>6373</v>
      </c>
      <c r="I298" s="2">
        <v>43918</v>
      </c>
      <c r="J298" s="2">
        <v>208531</v>
      </c>
      <c r="K298" s="2">
        <v>50831</v>
      </c>
      <c r="L298" s="2">
        <v>23721</v>
      </c>
      <c r="M298" s="2">
        <v>77608</v>
      </c>
      <c r="N298" s="2">
        <v>41333</v>
      </c>
      <c r="O298" s="2">
        <v>49273</v>
      </c>
      <c r="P298" s="4">
        <f t="shared" si="60"/>
        <v>604916</v>
      </c>
    </row>
    <row r="299" spans="1:16" ht="15.75">
      <c r="A299" s="13" t="s">
        <v>388</v>
      </c>
      <c r="B299" s="2">
        <v>9097</v>
      </c>
      <c r="C299" s="2">
        <v>12760</v>
      </c>
      <c r="D299" s="2">
        <v>228</v>
      </c>
      <c r="E299" s="2">
        <v>10240</v>
      </c>
      <c r="F299" s="2">
        <v>43556</v>
      </c>
      <c r="G299" s="2">
        <v>61230</v>
      </c>
      <c r="H299" s="2">
        <v>21941</v>
      </c>
      <c r="I299" s="2">
        <v>45917</v>
      </c>
      <c r="J299" s="2">
        <v>251566</v>
      </c>
      <c r="K299" s="2">
        <v>60704</v>
      </c>
      <c r="L299" s="2">
        <v>47261</v>
      </c>
      <c r="M299" s="2">
        <v>87938</v>
      </c>
      <c r="N299" s="2">
        <v>40173</v>
      </c>
      <c r="O299" s="2">
        <v>49112</v>
      </c>
      <c r="P299" s="4">
        <f>SUM(B299:O299)</f>
        <v>741723</v>
      </c>
    </row>
    <row r="300" spans="1:16" ht="15.75">
      <c r="A300" s="13" t="s">
        <v>389</v>
      </c>
      <c r="B300" s="2">
        <v>8005</v>
      </c>
      <c r="C300" s="2">
        <v>11235</v>
      </c>
      <c r="D300" s="2">
        <v>230</v>
      </c>
      <c r="E300" s="2">
        <v>9734</v>
      </c>
      <c r="F300" s="2">
        <v>39314</v>
      </c>
      <c r="G300" s="2">
        <v>52160</v>
      </c>
      <c r="H300" s="2">
        <v>22582</v>
      </c>
      <c r="I300" s="2">
        <v>43741</v>
      </c>
      <c r="J300" s="2">
        <v>240585</v>
      </c>
      <c r="K300" s="2">
        <v>50209</v>
      </c>
      <c r="L300" s="2">
        <v>52365</v>
      </c>
      <c r="M300" s="2">
        <v>79812</v>
      </c>
      <c r="N300" s="2">
        <v>37996</v>
      </c>
      <c r="O300" s="2">
        <v>46909</v>
      </c>
      <c r="P300" s="4">
        <f>SUM(B300:O300)</f>
        <v>694877</v>
      </c>
    </row>
    <row r="301" spans="1:16" ht="15.75">
      <c r="A301" s="13" t="s">
        <v>390</v>
      </c>
      <c r="B301" s="2">
        <v>6855</v>
      </c>
      <c r="C301" s="2">
        <v>9507</v>
      </c>
      <c r="D301" s="2">
        <v>209</v>
      </c>
      <c r="E301" s="2">
        <v>7747</v>
      </c>
      <c r="F301" s="2">
        <v>33754</v>
      </c>
      <c r="G301" s="2">
        <v>40861</v>
      </c>
      <c r="H301" s="2">
        <v>20074</v>
      </c>
      <c r="I301" s="2">
        <v>33124</v>
      </c>
      <c r="J301" s="2">
        <v>212972</v>
      </c>
      <c r="K301" s="2">
        <v>36393</v>
      </c>
      <c r="L301" s="2">
        <v>45764</v>
      </c>
      <c r="M301" s="2">
        <v>67842</v>
      </c>
      <c r="N301" s="2">
        <v>33279</v>
      </c>
      <c r="O301" s="2">
        <v>41788</v>
      </c>
      <c r="P301" s="4">
        <f>SUM(B301:O301)</f>
        <v>590169</v>
      </c>
    </row>
    <row r="302" spans="1:16" ht="15.75">
      <c r="A302" s="13" t="s">
        <v>391</v>
      </c>
      <c r="B302" s="2">
        <v>5492</v>
      </c>
      <c r="C302" s="2">
        <v>7005</v>
      </c>
      <c r="D302" s="2">
        <v>246</v>
      </c>
      <c r="E302" s="2">
        <v>4749</v>
      </c>
      <c r="F302" s="2">
        <v>27805</v>
      </c>
      <c r="G302" s="2">
        <v>26492</v>
      </c>
      <c r="H302" s="2">
        <v>17137</v>
      </c>
      <c r="I302" s="2">
        <v>27878</v>
      </c>
      <c r="J302" s="2">
        <v>230757</v>
      </c>
      <c r="K302" s="2">
        <v>36166</v>
      </c>
      <c r="L302" s="2">
        <v>42872</v>
      </c>
      <c r="M302" s="2">
        <v>51022</v>
      </c>
      <c r="N302" s="2">
        <v>34046</v>
      </c>
      <c r="O302" s="2">
        <v>43357</v>
      </c>
      <c r="P302" s="4">
        <f>SUM(B302:O302)</f>
        <v>555024</v>
      </c>
    </row>
    <row r="303" spans="1:16" ht="15.75">
      <c r="A303" s="52" t="s">
        <v>74</v>
      </c>
      <c r="B303" s="2">
        <f>SUM(B294:B302)</f>
        <v>80993</v>
      </c>
      <c r="C303" s="2">
        <f>SUM(C294:C302)</f>
        <v>114053</v>
      </c>
      <c r="D303" s="2">
        <f aca="true" t="shared" si="61" ref="D303:P303">SUM(D291:D302)</f>
        <v>6905</v>
      </c>
      <c r="E303" s="2">
        <f t="shared" si="61"/>
        <v>84230</v>
      </c>
      <c r="F303" s="2">
        <f t="shared" si="61"/>
        <v>409193</v>
      </c>
      <c r="G303" s="2">
        <f t="shared" si="61"/>
        <v>572048</v>
      </c>
      <c r="H303" s="2">
        <f t="shared" si="61"/>
        <v>240108</v>
      </c>
      <c r="I303" s="2">
        <f t="shared" si="61"/>
        <v>482907</v>
      </c>
      <c r="J303" s="2">
        <f t="shared" si="61"/>
        <v>2936116</v>
      </c>
      <c r="K303" s="2">
        <f t="shared" si="61"/>
        <v>568504</v>
      </c>
      <c r="L303" s="2">
        <f t="shared" si="61"/>
        <v>551833</v>
      </c>
      <c r="M303" s="2">
        <f t="shared" si="61"/>
        <v>881472</v>
      </c>
      <c r="N303" s="2">
        <f t="shared" si="61"/>
        <v>454382</v>
      </c>
      <c r="O303" s="2">
        <f t="shared" si="61"/>
        <v>557237</v>
      </c>
      <c r="P303" s="2">
        <f t="shared" si="61"/>
        <v>7980961</v>
      </c>
    </row>
    <row r="304" spans="1:19" ht="15" customHeight="1">
      <c r="A304" s="82" t="s">
        <v>410</v>
      </c>
      <c r="B304" s="85">
        <f>B303/12</f>
        <v>6749.416666666667</v>
      </c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77"/>
      <c r="Q304" s="8"/>
      <c r="R304" s="8"/>
      <c r="S304" s="8"/>
    </row>
    <row r="305" spans="1:19" ht="15" customHeight="1">
      <c r="A305" s="82" t="s">
        <v>297</v>
      </c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77"/>
      <c r="Q305" s="8"/>
      <c r="R305" s="8"/>
      <c r="S305" s="8"/>
    </row>
    <row r="306" spans="1:19" ht="15" customHeight="1">
      <c r="A306" s="82" t="s">
        <v>411</v>
      </c>
      <c r="B306" s="86">
        <v>3.8</v>
      </c>
      <c r="C306" s="86">
        <v>3.8</v>
      </c>
      <c r="D306" s="86">
        <v>3.8</v>
      </c>
      <c r="E306" s="86">
        <v>3.8</v>
      </c>
      <c r="F306" s="86">
        <v>3.8</v>
      </c>
      <c r="G306" s="86">
        <v>3.8</v>
      </c>
      <c r="H306" s="86">
        <v>3.8</v>
      </c>
      <c r="I306" s="86">
        <v>3.8</v>
      </c>
      <c r="J306" s="86">
        <v>3.8</v>
      </c>
      <c r="K306" s="86">
        <v>3.8</v>
      </c>
      <c r="L306" s="86">
        <v>3.8</v>
      </c>
      <c r="M306" s="86">
        <v>3.8</v>
      </c>
      <c r="N306" s="86"/>
      <c r="O306" s="86"/>
      <c r="P306" s="77"/>
      <c r="Q306" s="8"/>
      <c r="R306" s="8"/>
      <c r="S306" s="8"/>
    </row>
    <row r="307" spans="1:16" ht="15" customHeight="1">
      <c r="A307" s="82" t="s">
        <v>412</v>
      </c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77"/>
    </row>
    <row r="308" spans="1:16" ht="22.5" customHeight="1">
      <c r="A308" s="79" t="s">
        <v>296</v>
      </c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96"/>
    </row>
    <row r="311" spans="1:16" ht="15.75">
      <c r="A311" s="2" t="s">
        <v>18</v>
      </c>
      <c r="B311" s="16" t="s">
        <v>0</v>
      </c>
      <c r="C311" s="16" t="s">
        <v>1</v>
      </c>
      <c r="D311" s="16" t="s">
        <v>2</v>
      </c>
      <c r="E311" s="16" t="s">
        <v>3</v>
      </c>
      <c r="F311" s="16" t="s">
        <v>70</v>
      </c>
      <c r="G311" s="16" t="s">
        <v>6</v>
      </c>
      <c r="H311" s="16" t="s">
        <v>7</v>
      </c>
      <c r="I311" s="16" t="s">
        <v>8</v>
      </c>
      <c r="J311" s="16" t="s">
        <v>191</v>
      </c>
      <c r="K311" s="16" t="s">
        <v>11</v>
      </c>
      <c r="L311" s="16" t="s">
        <v>13</v>
      </c>
      <c r="M311" s="56" t="s">
        <v>192</v>
      </c>
      <c r="N311" s="2" t="s">
        <v>217</v>
      </c>
      <c r="O311" s="2" t="s">
        <v>218</v>
      </c>
      <c r="P311" s="3" t="s">
        <v>68</v>
      </c>
    </row>
    <row r="312" spans="1:16" ht="15.75">
      <c r="A312" s="13" t="s">
        <v>442</v>
      </c>
      <c r="B312" s="2">
        <v>5244</v>
      </c>
      <c r="C312" s="2">
        <v>5578</v>
      </c>
      <c r="D312" s="2">
        <v>223</v>
      </c>
      <c r="E312" s="2">
        <v>3657</v>
      </c>
      <c r="F312" s="2">
        <v>22097</v>
      </c>
      <c r="G312" s="2">
        <v>20009</v>
      </c>
      <c r="H312" s="2">
        <v>14035</v>
      </c>
      <c r="I312" s="2">
        <v>23918</v>
      </c>
      <c r="J312" s="2">
        <v>218056</v>
      </c>
      <c r="K312" s="2">
        <v>29438</v>
      </c>
      <c r="L312" s="2">
        <v>34498</v>
      </c>
      <c r="M312" s="2">
        <v>42919</v>
      </c>
      <c r="N312" s="2">
        <v>30234</v>
      </c>
      <c r="O312" s="2">
        <v>35339</v>
      </c>
      <c r="P312" s="4">
        <f aca="true" t="shared" si="62" ref="P312:P321">SUM(B312:O312)</f>
        <v>485245</v>
      </c>
    </row>
    <row r="313" spans="1:16" ht="15.75">
      <c r="A313" s="13" t="s">
        <v>443</v>
      </c>
      <c r="B313" s="2">
        <v>3499</v>
      </c>
      <c r="C313" s="2">
        <v>3515</v>
      </c>
      <c r="D313" s="2">
        <v>158</v>
      </c>
      <c r="E313" s="2">
        <v>2511</v>
      </c>
      <c r="F313" s="2">
        <v>16751</v>
      </c>
      <c r="G313" s="2">
        <v>15129</v>
      </c>
      <c r="H313" s="2">
        <v>10849</v>
      </c>
      <c r="I313" s="2">
        <v>16945</v>
      </c>
      <c r="J313" s="2">
        <v>180326</v>
      </c>
      <c r="K313" s="2">
        <v>26628</v>
      </c>
      <c r="L313" s="2">
        <v>30259</v>
      </c>
      <c r="M313" s="1">
        <v>32385</v>
      </c>
      <c r="N313" s="2">
        <v>21994</v>
      </c>
      <c r="O313" s="2">
        <v>29273</v>
      </c>
      <c r="P313" s="4">
        <f t="shared" si="62"/>
        <v>390222</v>
      </c>
    </row>
    <row r="314" spans="1:16" ht="15.75">
      <c r="A314" s="13" t="s">
        <v>444</v>
      </c>
      <c r="B314" s="2">
        <v>5086</v>
      </c>
      <c r="C314" s="2">
        <v>6253</v>
      </c>
      <c r="D314" s="2">
        <v>240</v>
      </c>
      <c r="E314" s="2">
        <v>4242</v>
      </c>
      <c r="F314" s="2">
        <v>28405</v>
      </c>
      <c r="G314" s="2">
        <v>25209</v>
      </c>
      <c r="H314" s="2">
        <v>17794</v>
      </c>
      <c r="I314" s="2">
        <v>28365</v>
      </c>
      <c r="J314" s="2">
        <v>250210</v>
      </c>
      <c r="K314" s="2">
        <v>36059</v>
      </c>
      <c r="L314" s="2">
        <v>42745</v>
      </c>
      <c r="M314" s="2">
        <v>49141</v>
      </c>
      <c r="N314" s="2">
        <v>32448</v>
      </c>
      <c r="O314" s="2">
        <v>40017</v>
      </c>
      <c r="P314" s="4">
        <f t="shared" si="62"/>
        <v>566214</v>
      </c>
    </row>
    <row r="315" spans="1:16" ht="15.75">
      <c r="A315" s="13" t="s">
        <v>445</v>
      </c>
      <c r="B315" s="2">
        <v>5879</v>
      </c>
      <c r="C315" s="2">
        <v>8565</v>
      </c>
      <c r="D315" s="2">
        <v>222</v>
      </c>
      <c r="E315" s="2">
        <v>7464</v>
      </c>
      <c r="F315" s="2">
        <v>38662</v>
      </c>
      <c r="G315" s="2">
        <v>42741</v>
      </c>
      <c r="H315" s="2">
        <v>23124</v>
      </c>
      <c r="I315" s="2">
        <v>33078</v>
      </c>
      <c r="J315" s="2">
        <v>247628</v>
      </c>
      <c r="K315" s="2">
        <v>39954</v>
      </c>
      <c r="L315" s="2">
        <v>49555</v>
      </c>
      <c r="M315" s="2">
        <v>55636</v>
      </c>
      <c r="N315" s="2">
        <v>30159</v>
      </c>
      <c r="O315" s="2">
        <v>37544</v>
      </c>
      <c r="P315" s="4">
        <f t="shared" si="62"/>
        <v>620211</v>
      </c>
    </row>
    <row r="316" spans="1:16" ht="15.75">
      <c r="A316" s="13" t="s">
        <v>446</v>
      </c>
      <c r="B316" s="2">
        <v>9202</v>
      </c>
      <c r="C316" s="2">
        <v>12548</v>
      </c>
      <c r="D316" s="2">
        <v>244</v>
      </c>
      <c r="E316" s="2">
        <v>12174</v>
      </c>
      <c r="F316" s="2">
        <v>55431</v>
      </c>
      <c r="G316" s="2">
        <v>70826</v>
      </c>
      <c r="H316" s="2">
        <v>30588</v>
      </c>
      <c r="I316" s="2">
        <v>47544</v>
      </c>
      <c r="J316" s="2">
        <v>290858</v>
      </c>
      <c r="K316" s="2">
        <v>64117</v>
      </c>
      <c r="L316" s="2">
        <v>60709</v>
      </c>
      <c r="M316" s="2">
        <v>81541</v>
      </c>
      <c r="N316" s="2">
        <v>36271</v>
      </c>
      <c r="O316" s="2">
        <v>46313</v>
      </c>
      <c r="P316" s="4">
        <f t="shared" si="62"/>
        <v>818366</v>
      </c>
    </row>
    <row r="317" spans="1:16" ht="15.75">
      <c r="A317" s="13" t="s">
        <v>447</v>
      </c>
      <c r="B317" s="2">
        <v>11811</v>
      </c>
      <c r="C317" s="2">
        <v>15767</v>
      </c>
      <c r="D317" s="2">
        <v>260</v>
      </c>
      <c r="E317" s="2">
        <v>13529</v>
      </c>
      <c r="F317" s="2">
        <v>58594</v>
      </c>
      <c r="G317" s="2">
        <v>82282</v>
      </c>
      <c r="H317" s="2">
        <v>32010</v>
      </c>
      <c r="I317" s="2">
        <v>52800</v>
      </c>
      <c r="J317" s="2">
        <v>291143</v>
      </c>
      <c r="K317" s="2">
        <v>82385</v>
      </c>
      <c r="L317" s="2">
        <v>58553</v>
      </c>
      <c r="M317" s="2">
        <v>102179</v>
      </c>
      <c r="N317" s="2">
        <v>43475</v>
      </c>
      <c r="O317" s="2">
        <v>51153</v>
      </c>
      <c r="P317" s="4">
        <f t="shared" si="62"/>
        <v>895941</v>
      </c>
    </row>
    <row r="318" spans="1:16" ht="15.75">
      <c r="A318" s="13" t="s">
        <v>448</v>
      </c>
      <c r="B318" s="2">
        <v>11565</v>
      </c>
      <c r="C318" s="2">
        <v>16469</v>
      </c>
      <c r="D318" s="2">
        <v>237</v>
      </c>
      <c r="E318" s="2">
        <v>1397</v>
      </c>
      <c r="F318" s="2">
        <v>24430</v>
      </c>
      <c r="G318" s="2">
        <v>55264</v>
      </c>
      <c r="H318" s="2">
        <v>5802</v>
      </c>
      <c r="I318" s="2">
        <v>44635</v>
      </c>
      <c r="J318" s="2">
        <v>217352</v>
      </c>
      <c r="K318" s="2">
        <v>70933</v>
      </c>
      <c r="L318" s="2">
        <v>28585</v>
      </c>
      <c r="M318" s="2">
        <v>77998</v>
      </c>
      <c r="N318" s="2">
        <v>40364</v>
      </c>
      <c r="O318" s="2">
        <v>45911</v>
      </c>
      <c r="P318" s="4">
        <f t="shared" si="62"/>
        <v>640942</v>
      </c>
    </row>
    <row r="319" spans="1:16" ht="15.75">
      <c r="A319" s="13" t="s">
        <v>449</v>
      </c>
      <c r="B319" s="2">
        <v>9666</v>
      </c>
      <c r="C319" s="2">
        <v>12641</v>
      </c>
      <c r="D319" s="2">
        <v>211</v>
      </c>
      <c r="E319" s="2">
        <v>1307</v>
      </c>
      <c r="F319" s="2">
        <v>15765</v>
      </c>
      <c r="G319" s="2">
        <v>40692</v>
      </c>
      <c r="H319" s="2">
        <v>5522</v>
      </c>
      <c r="I319" s="2">
        <v>28559</v>
      </c>
      <c r="J319" s="2">
        <v>193475</v>
      </c>
      <c r="K319" s="2">
        <v>55142</v>
      </c>
      <c r="L319" s="2">
        <v>19124</v>
      </c>
      <c r="M319" s="2">
        <v>69713</v>
      </c>
      <c r="N319" s="2">
        <v>37560</v>
      </c>
      <c r="O319" s="2">
        <v>41105</v>
      </c>
      <c r="P319" s="4">
        <f t="shared" si="62"/>
        <v>530482</v>
      </c>
    </row>
    <row r="320" spans="1:16" ht="15.75">
      <c r="A320" s="13" t="s">
        <v>450</v>
      </c>
      <c r="B320" s="2">
        <v>8116</v>
      </c>
      <c r="C320" s="2">
        <v>8781</v>
      </c>
      <c r="D320" s="2">
        <v>246</v>
      </c>
      <c r="E320" s="2">
        <v>11933</v>
      </c>
      <c r="F320" s="2">
        <v>28004</v>
      </c>
      <c r="G320" s="2">
        <v>61209</v>
      </c>
      <c r="H320" s="2">
        <v>26111</v>
      </c>
      <c r="I320" s="2">
        <v>47854</v>
      </c>
      <c r="J320" s="2">
        <v>259708</v>
      </c>
      <c r="K320" s="2">
        <v>65640</v>
      </c>
      <c r="L320" s="2">
        <v>26792</v>
      </c>
      <c r="M320" s="2">
        <v>90627</v>
      </c>
      <c r="N320" s="2">
        <v>37984</v>
      </c>
      <c r="O320" s="2">
        <v>51031</v>
      </c>
      <c r="P320" s="4">
        <f t="shared" si="62"/>
        <v>724036</v>
      </c>
    </row>
    <row r="321" spans="1:16" ht="15.75">
      <c r="A321" s="13" t="s">
        <v>451</v>
      </c>
      <c r="B321" s="2">
        <v>7490</v>
      </c>
      <c r="C321" s="2">
        <v>7708</v>
      </c>
      <c r="D321" s="2">
        <v>221</v>
      </c>
      <c r="E321" s="2">
        <v>11486</v>
      </c>
      <c r="F321" s="2">
        <v>31299</v>
      </c>
      <c r="G321" s="2">
        <v>55863</v>
      </c>
      <c r="H321" s="2">
        <v>26603</v>
      </c>
      <c r="I321" s="2">
        <v>58107</v>
      </c>
      <c r="J321" s="2">
        <v>261067</v>
      </c>
      <c r="K321" s="2">
        <v>57697</v>
      </c>
      <c r="L321" s="2">
        <v>60393</v>
      </c>
      <c r="M321" s="2">
        <v>87822</v>
      </c>
      <c r="N321" s="2">
        <v>36401</v>
      </c>
      <c r="O321" s="2">
        <v>48752</v>
      </c>
      <c r="P321" s="4">
        <f t="shared" si="62"/>
        <v>750909</v>
      </c>
    </row>
    <row r="322" spans="1:16" ht="15.75">
      <c r="A322" s="13" t="s">
        <v>452</v>
      </c>
      <c r="B322" s="2">
        <v>5511</v>
      </c>
      <c r="C322" s="2">
        <v>3947</v>
      </c>
      <c r="D322" s="2">
        <v>199</v>
      </c>
      <c r="E322" s="2">
        <v>6662</v>
      </c>
      <c r="F322" s="2">
        <v>37383</v>
      </c>
      <c r="G322" s="2">
        <v>29535</v>
      </c>
      <c r="H322" s="2">
        <v>19652</v>
      </c>
      <c r="I322" s="2">
        <v>34968</v>
      </c>
      <c r="J322" s="2">
        <v>220152</v>
      </c>
      <c r="K322" s="2">
        <v>36002</v>
      </c>
      <c r="L322" s="2">
        <v>49584</v>
      </c>
      <c r="M322" s="2">
        <v>51842</v>
      </c>
      <c r="N322" s="2">
        <v>29231</v>
      </c>
      <c r="O322" s="2">
        <v>39236</v>
      </c>
      <c r="P322" s="4">
        <f>SUM(B322:O322)</f>
        <v>563904</v>
      </c>
    </row>
    <row r="323" spans="1:16" ht="15.75">
      <c r="A323" s="13" t="s">
        <v>453</v>
      </c>
      <c r="B323" s="2">
        <v>4616</v>
      </c>
      <c r="C323" s="2">
        <v>3205</v>
      </c>
      <c r="D323" s="2">
        <v>218</v>
      </c>
      <c r="E323" s="2">
        <v>5088</v>
      </c>
      <c r="F323" s="2">
        <v>31238</v>
      </c>
      <c r="G323" s="2">
        <v>25185</v>
      </c>
      <c r="H323" s="2">
        <v>16728</v>
      </c>
      <c r="I323" s="2">
        <v>29734</v>
      </c>
      <c r="J323" s="2">
        <v>232554</v>
      </c>
      <c r="K323" s="2">
        <v>35746</v>
      </c>
      <c r="L323" s="2">
        <v>44683</v>
      </c>
      <c r="M323" s="2">
        <v>47622</v>
      </c>
      <c r="N323" s="2">
        <v>29587</v>
      </c>
      <c r="O323" s="2">
        <v>38639</v>
      </c>
      <c r="P323" s="4">
        <f>SUM(B323:O323)</f>
        <v>544843</v>
      </c>
    </row>
    <row r="324" spans="1:16" ht="15.75">
      <c r="A324" s="52" t="s">
        <v>74</v>
      </c>
      <c r="B324" s="2">
        <f>SUM(B312:B323)</f>
        <v>87685</v>
      </c>
      <c r="C324" s="2">
        <f aca="true" t="shared" si="63" ref="C324:O324">SUM(C312:C323)</f>
        <v>104977</v>
      </c>
      <c r="D324" s="2">
        <f t="shared" si="63"/>
        <v>2679</v>
      </c>
      <c r="E324" s="2">
        <f t="shared" si="63"/>
        <v>81450</v>
      </c>
      <c r="F324" s="2">
        <f t="shared" si="63"/>
        <v>388059</v>
      </c>
      <c r="G324" s="2">
        <f t="shared" si="63"/>
        <v>523944</v>
      </c>
      <c r="H324" s="2">
        <f t="shared" si="63"/>
        <v>228818</v>
      </c>
      <c r="I324" s="2">
        <f t="shared" si="63"/>
        <v>446507</v>
      </c>
      <c r="J324" s="2">
        <f t="shared" si="63"/>
        <v>2862529</v>
      </c>
      <c r="K324" s="2">
        <f t="shared" si="63"/>
        <v>599741</v>
      </c>
      <c r="L324" s="2">
        <f t="shared" si="63"/>
        <v>505480</v>
      </c>
      <c r="M324" s="2">
        <f t="shared" si="63"/>
        <v>789425</v>
      </c>
      <c r="N324" s="2">
        <f t="shared" si="63"/>
        <v>405708</v>
      </c>
      <c r="O324" s="2">
        <f t="shared" si="63"/>
        <v>504313</v>
      </c>
      <c r="P324" s="2">
        <f>SUM(B324:O324)</f>
        <v>7531315</v>
      </c>
    </row>
    <row r="325" spans="1:16" ht="15.75">
      <c r="A325" s="82" t="s">
        <v>295</v>
      </c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77"/>
    </row>
    <row r="326" spans="1:16" ht="15.75">
      <c r="A326" s="82" t="s">
        <v>297</v>
      </c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77"/>
    </row>
    <row r="327" spans="1:16" ht="15.75">
      <c r="A327" s="82" t="s">
        <v>299</v>
      </c>
      <c r="B327" s="86">
        <v>3.8</v>
      </c>
      <c r="C327" s="86">
        <v>3.8</v>
      </c>
      <c r="D327" s="86">
        <v>3.8</v>
      </c>
      <c r="E327" s="86">
        <v>3.8</v>
      </c>
      <c r="F327" s="86">
        <v>3.8</v>
      </c>
      <c r="G327" s="86">
        <v>3.8</v>
      </c>
      <c r="H327" s="86">
        <v>3.8</v>
      </c>
      <c r="I327" s="86">
        <v>3.8</v>
      </c>
      <c r="J327" s="86">
        <v>3.8</v>
      </c>
      <c r="K327" s="86">
        <v>3.8</v>
      </c>
      <c r="L327" s="86">
        <v>3.8</v>
      </c>
      <c r="M327" s="86">
        <v>3.8</v>
      </c>
      <c r="N327" s="86">
        <v>3.8</v>
      </c>
      <c r="O327" s="86">
        <v>3.8</v>
      </c>
      <c r="P327" s="77">
        <v>3.8</v>
      </c>
    </row>
    <row r="328" spans="1:16" ht="15.75">
      <c r="A328" s="82" t="s">
        <v>298</v>
      </c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77"/>
    </row>
    <row r="329" spans="1:16" ht="22.5">
      <c r="A329" s="79" t="s">
        <v>296</v>
      </c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96"/>
    </row>
    <row r="332" spans="1:16" ht="15.75">
      <c r="A332" s="2" t="s">
        <v>18</v>
      </c>
      <c r="B332" s="16" t="s">
        <v>0</v>
      </c>
      <c r="C332" s="16" t="s">
        <v>1</v>
      </c>
      <c r="D332" s="16" t="s">
        <v>2</v>
      </c>
      <c r="E332" s="16" t="s">
        <v>3</v>
      </c>
      <c r="F332" s="16" t="s">
        <v>70</v>
      </c>
      <c r="G332" s="16" t="s">
        <v>6</v>
      </c>
      <c r="H332" s="16" t="s">
        <v>7</v>
      </c>
      <c r="I332" s="16" t="s">
        <v>8</v>
      </c>
      <c r="J332" s="16" t="s">
        <v>191</v>
      </c>
      <c r="K332" s="16" t="s">
        <v>11</v>
      </c>
      <c r="L332" s="16" t="s">
        <v>13</v>
      </c>
      <c r="M332" s="56" t="s">
        <v>192</v>
      </c>
      <c r="N332" s="2" t="s">
        <v>217</v>
      </c>
      <c r="O332" s="2" t="s">
        <v>218</v>
      </c>
      <c r="P332" s="3" t="s">
        <v>68</v>
      </c>
    </row>
    <row r="333" spans="1:16" ht="15.75">
      <c r="A333" s="13" t="s">
        <v>471</v>
      </c>
      <c r="B333" s="2">
        <v>3703</v>
      </c>
      <c r="C333" s="2">
        <v>2347</v>
      </c>
      <c r="D333" s="2">
        <v>175</v>
      </c>
      <c r="E333" s="2">
        <v>3447</v>
      </c>
      <c r="F333" s="2">
        <v>24693</v>
      </c>
      <c r="G333" s="2">
        <v>17911</v>
      </c>
      <c r="H333" s="2">
        <v>12658</v>
      </c>
      <c r="I333" s="2">
        <v>22890</v>
      </c>
      <c r="J333" s="2">
        <v>200551</v>
      </c>
      <c r="K333" s="2">
        <v>30302</v>
      </c>
      <c r="L333" s="2">
        <v>36047</v>
      </c>
      <c r="M333" s="2">
        <v>35900</v>
      </c>
      <c r="N333" s="2">
        <v>25389</v>
      </c>
      <c r="O333" s="2">
        <v>31031</v>
      </c>
      <c r="P333" s="4">
        <f aca="true" t="shared" si="64" ref="P333:P342">SUM(B333:O333)</f>
        <v>447044</v>
      </c>
    </row>
    <row r="334" spans="1:16" ht="15.75">
      <c r="A334" s="13" t="s">
        <v>472</v>
      </c>
      <c r="B334" s="2">
        <v>4051</v>
      </c>
      <c r="C334" s="2">
        <v>2625</v>
      </c>
      <c r="D334" s="2">
        <v>224</v>
      </c>
      <c r="E334" s="2">
        <v>3804</v>
      </c>
      <c r="F334" s="2">
        <v>26121</v>
      </c>
      <c r="G334" s="2">
        <v>19911</v>
      </c>
      <c r="H334" s="2">
        <v>13415</v>
      </c>
      <c r="I334" s="2">
        <v>23751</v>
      </c>
      <c r="J334" s="2">
        <v>216683</v>
      </c>
      <c r="K334" s="2">
        <v>32118</v>
      </c>
      <c r="L334" s="2">
        <v>37925</v>
      </c>
      <c r="M334" s="1">
        <v>40494</v>
      </c>
      <c r="N334" s="2">
        <v>27502</v>
      </c>
      <c r="O334" s="2">
        <v>34986</v>
      </c>
      <c r="P334" s="4">
        <f t="shared" si="64"/>
        <v>483610</v>
      </c>
    </row>
    <row r="335" spans="1:16" ht="15.75">
      <c r="A335" s="13" t="s">
        <v>473</v>
      </c>
      <c r="B335" s="2">
        <v>3711</v>
      </c>
      <c r="C335" s="2">
        <v>2404</v>
      </c>
      <c r="D335" s="2">
        <v>205</v>
      </c>
      <c r="E335" s="2">
        <v>3485</v>
      </c>
      <c r="F335" s="2">
        <v>23927</v>
      </c>
      <c r="G335" s="2">
        <v>18239</v>
      </c>
      <c r="H335" s="2">
        <v>12289</v>
      </c>
      <c r="I335" s="2">
        <v>21757</v>
      </c>
      <c r="J335" s="2">
        <v>198493</v>
      </c>
      <c r="K335" s="2">
        <v>29422</v>
      </c>
      <c r="L335" s="2">
        <v>34741</v>
      </c>
      <c r="M335" s="2">
        <v>37094</v>
      </c>
      <c r="N335" s="2">
        <v>25193</v>
      </c>
      <c r="O335" s="2">
        <v>32049</v>
      </c>
      <c r="P335" s="4">
        <f t="shared" si="64"/>
        <v>443009</v>
      </c>
    </row>
    <row r="336" spans="1:16" ht="15.75">
      <c r="A336" s="13" t="s">
        <v>474</v>
      </c>
      <c r="B336" s="2">
        <v>5556</v>
      </c>
      <c r="C336" s="2">
        <v>4329</v>
      </c>
      <c r="D336" s="2">
        <v>219</v>
      </c>
      <c r="E336" s="2">
        <v>17378</v>
      </c>
      <c r="F336" s="2">
        <v>43879</v>
      </c>
      <c r="G336" s="2">
        <v>34756</v>
      </c>
      <c r="H336" s="2">
        <v>21404</v>
      </c>
      <c r="I336" s="2">
        <v>39052</v>
      </c>
      <c r="J336" s="2">
        <v>237167</v>
      </c>
      <c r="K336" s="2">
        <v>41152</v>
      </c>
      <c r="L336" s="2">
        <v>55513</v>
      </c>
      <c r="M336" s="2">
        <v>51748</v>
      </c>
      <c r="N336" s="2">
        <v>27943</v>
      </c>
      <c r="O336" s="2">
        <v>38973</v>
      </c>
      <c r="P336" s="4">
        <f t="shared" si="64"/>
        <v>619069</v>
      </c>
    </row>
    <row r="337" spans="1:16" ht="15.75">
      <c r="A337" s="13" t="s">
        <v>475</v>
      </c>
      <c r="B337" s="2">
        <v>7594</v>
      </c>
      <c r="C337" s="2">
        <v>6136</v>
      </c>
      <c r="D337" s="2">
        <v>237</v>
      </c>
      <c r="E337" s="2">
        <v>20700</v>
      </c>
      <c r="F337" s="2">
        <v>65429</v>
      </c>
      <c r="G337" s="2">
        <v>52664</v>
      </c>
      <c r="H337" s="2">
        <v>26618</v>
      </c>
      <c r="I337" s="2">
        <v>53536</v>
      </c>
      <c r="J337" s="2">
        <v>259848</v>
      </c>
      <c r="K337" s="2">
        <v>56114</v>
      </c>
      <c r="L337" s="2">
        <v>66971</v>
      </c>
      <c r="M337" s="2">
        <v>75288</v>
      </c>
      <c r="N337" s="2">
        <v>30908</v>
      </c>
      <c r="O337" s="2">
        <v>45584</v>
      </c>
      <c r="P337" s="4">
        <f t="shared" si="64"/>
        <v>767627</v>
      </c>
    </row>
    <row r="338" spans="1:16" ht="15.75">
      <c r="A338" s="13" t="s">
        <v>476</v>
      </c>
      <c r="B338" s="2">
        <v>10134</v>
      </c>
      <c r="C338" s="2">
        <v>8409</v>
      </c>
      <c r="D338" s="2">
        <v>261</v>
      </c>
      <c r="E338" s="2">
        <v>21346</v>
      </c>
      <c r="F338" s="2">
        <v>72301</v>
      </c>
      <c r="G338" s="2">
        <v>65620</v>
      </c>
      <c r="H338" s="2">
        <v>28854</v>
      </c>
      <c r="I338" s="2">
        <v>64711</v>
      </c>
      <c r="J338" s="2">
        <v>284810</v>
      </c>
      <c r="K338" s="2">
        <v>64928</v>
      </c>
      <c r="L338" s="2">
        <v>65225</v>
      </c>
      <c r="M338" s="2">
        <v>87390</v>
      </c>
      <c r="N338" s="2">
        <v>39808</v>
      </c>
      <c r="O338" s="2">
        <v>53742</v>
      </c>
      <c r="P338" s="4">
        <f t="shared" si="64"/>
        <v>867539</v>
      </c>
    </row>
    <row r="339" spans="1:16" ht="15.75">
      <c r="A339" s="13" t="s">
        <v>477</v>
      </c>
      <c r="B339" s="2">
        <v>11166</v>
      </c>
      <c r="C339" s="2">
        <v>10526</v>
      </c>
      <c r="D339" s="2">
        <v>231</v>
      </c>
      <c r="E339" s="2">
        <v>9359</v>
      </c>
      <c r="F339" s="2">
        <f>17827+2540+5348</f>
        <v>25715</v>
      </c>
      <c r="G339" s="2">
        <f>21615+51140</f>
        <v>72755</v>
      </c>
      <c r="H339" s="2">
        <v>13436</v>
      </c>
      <c r="I339" s="2">
        <v>49023</v>
      </c>
      <c r="J339" s="2">
        <f>238871+96+2428</f>
        <v>241395</v>
      </c>
      <c r="K339" s="2">
        <v>79662</v>
      </c>
      <c r="L339" s="2">
        <v>33425</v>
      </c>
      <c r="M339" s="2">
        <f>38489+2407</f>
        <v>40896</v>
      </c>
      <c r="N339" s="2">
        <v>41929</v>
      </c>
      <c r="O339" s="2">
        <v>56269</v>
      </c>
      <c r="P339" s="4">
        <f t="shared" si="64"/>
        <v>685787</v>
      </c>
    </row>
    <row r="340" spans="1:16" ht="15.75">
      <c r="A340" s="13" t="s">
        <v>478</v>
      </c>
      <c r="B340" s="2">
        <v>12406</v>
      </c>
      <c r="C340" s="2">
        <v>12070</v>
      </c>
      <c r="D340" s="2">
        <v>232</v>
      </c>
      <c r="E340" s="2">
        <v>11365</v>
      </c>
      <c r="F340" s="2">
        <f>21047+3410+6946</f>
        <v>31403</v>
      </c>
      <c r="G340" s="2">
        <f>22520+54933</f>
        <v>77453</v>
      </c>
      <c r="H340" s="2">
        <v>13283</v>
      </c>
      <c r="I340" s="2">
        <v>58006</v>
      </c>
      <c r="J340" s="2">
        <f>242725+96+3058</f>
        <v>245879</v>
      </c>
      <c r="K340" s="2">
        <v>79137</v>
      </c>
      <c r="L340" s="2">
        <v>33675</v>
      </c>
      <c r="M340" s="2">
        <f>45921+7072</f>
        <v>52993</v>
      </c>
      <c r="N340" s="2">
        <v>43491</v>
      </c>
      <c r="O340" s="2">
        <v>56407</v>
      </c>
      <c r="P340" s="4">
        <f t="shared" si="64"/>
        <v>727800</v>
      </c>
    </row>
    <row r="341" spans="1:16" ht="15.75">
      <c r="A341" s="13" t="s">
        <v>479</v>
      </c>
      <c r="B341" s="2">
        <v>10476</v>
      </c>
      <c r="C341" s="2">
        <v>10723</v>
      </c>
      <c r="D341" s="2">
        <v>267</v>
      </c>
      <c r="E341" s="2">
        <v>25892</v>
      </c>
      <c r="F341" s="2">
        <v>86305</v>
      </c>
      <c r="G341" s="2">
        <v>74387</v>
      </c>
      <c r="H341" s="2">
        <v>28537</v>
      </c>
      <c r="I341" s="2">
        <v>72250</v>
      </c>
      <c r="J341" s="2">
        <v>288231</v>
      </c>
      <c r="K341" s="2">
        <v>82093</v>
      </c>
      <c r="L341" s="2">
        <v>63701</v>
      </c>
      <c r="M341" s="2">
        <v>123099</v>
      </c>
      <c r="N341" s="2">
        <v>45615</v>
      </c>
      <c r="O341" s="2">
        <v>56430</v>
      </c>
      <c r="P341" s="4">
        <f t="shared" si="64"/>
        <v>968006</v>
      </c>
    </row>
    <row r="342" spans="1:16" ht="15.75">
      <c r="A342" s="13" t="s">
        <v>480</v>
      </c>
      <c r="B342" s="2">
        <v>8694</v>
      </c>
      <c r="C342" s="2">
        <v>6973</v>
      </c>
      <c r="D342" s="2">
        <v>262</v>
      </c>
      <c r="E342" s="2">
        <v>24111</v>
      </c>
      <c r="F342" s="2">
        <f>44650+6162+9109</f>
        <v>59921</v>
      </c>
      <c r="G342" s="2">
        <f>26790+24781</f>
        <v>51571</v>
      </c>
      <c r="H342" s="2">
        <v>23689</v>
      </c>
      <c r="I342" s="2">
        <v>52374</v>
      </c>
      <c r="J342" s="2">
        <f>261845+150+9191</f>
        <v>271186</v>
      </c>
      <c r="K342" s="2">
        <v>60612</v>
      </c>
      <c r="L342" s="2">
        <v>58045</v>
      </c>
      <c r="M342" s="2">
        <f>73063+13931</f>
        <v>86994</v>
      </c>
      <c r="N342" s="2">
        <v>35395</v>
      </c>
      <c r="O342" s="2">
        <v>48377</v>
      </c>
      <c r="P342" s="4">
        <f t="shared" si="64"/>
        <v>788204</v>
      </c>
    </row>
    <row r="343" spans="1:16" ht="15.75">
      <c r="A343" s="13" t="s">
        <v>481</v>
      </c>
      <c r="B343" s="2">
        <v>5566</v>
      </c>
      <c r="C343" s="2">
        <v>3566</v>
      </c>
      <c r="D343" s="2">
        <v>235</v>
      </c>
      <c r="E343" s="2">
        <v>19775</v>
      </c>
      <c r="F343" s="2">
        <f>2843+32959+1483</f>
        <v>37285</v>
      </c>
      <c r="G343" s="2">
        <v>31826</v>
      </c>
      <c r="H343" s="2">
        <v>18162</v>
      </c>
      <c r="I343" s="2">
        <v>34071</v>
      </c>
      <c r="J343" s="2">
        <v>218553</v>
      </c>
      <c r="K343" s="2">
        <v>39757</v>
      </c>
      <c r="L343" s="2">
        <v>47378</v>
      </c>
      <c r="M343" s="2">
        <f>52435+2225</f>
        <v>54660</v>
      </c>
      <c r="N343" s="2">
        <v>28736</v>
      </c>
      <c r="O343" s="2">
        <v>38636</v>
      </c>
      <c r="P343" s="4">
        <f>SUM(B343:O343)</f>
        <v>578206</v>
      </c>
    </row>
    <row r="344" spans="1:16" ht="15.75">
      <c r="A344" s="13" t="s">
        <v>482</v>
      </c>
      <c r="B344" s="2">
        <v>5275</v>
      </c>
      <c r="C344" s="2">
        <v>3053</v>
      </c>
      <c r="D344" s="2">
        <v>855</v>
      </c>
      <c r="E344" s="2">
        <v>16352</v>
      </c>
      <c r="F344" s="2">
        <v>32243</v>
      </c>
      <c r="G344" s="2">
        <v>26100</v>
      </c>
      <c r="H344" s="2">
        <v>15375</v>
      </c>
      <c r="I344" s="2">
        <v>28847</v>
      </c>
      <c r="J344" s="2">
        <v>250699</v>
      </c>
      <c r="K344" s="2">
        <v>38679</v>
      </c>
      <c r="L344" s="2">
        <v>44025</v>
      </c>
      <c r="M344" s="2">
        <v>50557</v>
      </c>
      <c r="N344" s="2">
        <v>27742</v>
      </c>
      <c r="O344" s="2">
        <v>38208</v>
      </c>
      <c r="P344" s="4">
        <f>SUM(B344:O344)</f>
        <v>578010</v>
      </c>
    </row>
    <row r="345" spans="1:16" ht="15.75">
      <c r="A345" s="52" t="s">
        <v>74</v>
      </c>
      <c r="B345" s="2">
        <f>SUM(B333:B344)</f>
        <v>88332</v>
      </c>
      <c r="C345" s="2">
        <f aca="true" t="shared" si="65" ref="C345:O345">SUM(C333:C344)</f>
        <v>73161</v>
      </c>
      <c r="D345" s="2">
        <f t="shared" si="65"/>
        <v>3403</v>
      </c>
      <c r="E345" s="2">
        <f t="shared" si="65"/>
        <v>177014</v>
      </c>
      <c r="F345" s="2">
        <f t="shared" si="65"/>
        <v>529222</v>
      </c>
      <c r="G345" s="2">
        <f t="shared" si="65"/>
        <v>543193</v>
      </c>
      <c r="H345" s="2">
        <f t="shared" si="65"/>
        <v>227720</v>
      </c>
      <c r="I345" s="2">
        <f t="shared" si="65"/>
        <v>520268</v>
      </c>
      <c r="J345" s="2">
        <f t="shared" si="65"/>
        <v>2913495</v>
      </c>
      <c r="K345" s="2">
        <f t="shared" si="65"/>
        <v>633976</v>
      </c>
      <c r="L345" s="2">
        <f t="shared" si="65"/>
        <v>576671</v>
      </c>
      <c r="M345" s="2">
        <f t="shared" si="65"/>
        <v>737113</v>
      </c>
      <c r="N345" s="2">
        <f t="shared" si="65"/>
        <v>399651</v>
      </c>
      <c r="O345" s="2">
        <f t="shared" si="65"/>
        <v>530692</v>
      </c>
      <c r="P345" s="2">
        <f>SUM(B345:O345)</f>
        <v>7953911</v>
      </c>
    </row>
    <row r="346" spans="1:16" ht="15.75">
      <c r="A346" s="82" t="s">
        <v>295</v>
      </c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77"/>
    </row>
    <row r="347" spans="1:16" ht="15.75">
      <c r="A347" s="82" t="s">
        <v>297</v>
      </c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77"/>
    </row>
    <row r="348" spans="1:16" ht="15.75">
      <c r="A348" s="82" t="s">
        <v>299</v>
      </c>
      <c r="B348" s="86">
        <v>3.8</v>
      </c>
      <c r="C348" s="86">
        <v>3.8</v>
      </c>
      <c r="D348" s="86">
        <v>3.8</v>
      </c>
      <c r="E348" s="86">
        <v>3.8</v>
      </c>
      <c r="F348" s="86">
        <v>3.8</v>
      </c>
      <c r="G348" s="86">
        <v>3.8</v>
      </c>
      <c r="H348" s="86">
        <v>3.8</v>
      </c>
      <c r="I348" s="86">
        <v>3.8</v>
      </c>
      <c r="J348" s="86">
        <v>3.8</v>
      </c>
      <c r="K348" s="86">
        <v>3.8</v>
      </c>
      <c r="L348" s="86">
        <v>3.8</v>
      </c>
      <c r="M348" s="86">
        <v>3.8</v>
      </c>
      <c r="N348" s="86">
        <v>3.8</v>
      </c>
      <c r="O348" s="86">
        <v>3.8</v>
      </c>
      <c r="P348" s="77">
        <v>3.8</v>
      </c>
    </row>
    <row r="349" spans="1:16" ht="15.75">
      <c r="A349" s="82" t="s">
        <v>298</v>
      </c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77"/>
    </row>
    <row r="350" spans="1:16" ht="22.5">
      <c r="A350" s="79" t="s">
        <v>296</v>
      </c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96"/>
    </row>
    <row r="353" spans="1:20" ht="27">
      <c r="A353" s="2" t="s">
        <v>18</v>
      </c>
      <c r="B353" s="16" t="s">
        <v>0</v>
      </c>
      <c r="C353" s="16" t="s">
        <v>1</v>
      </c>
      <c r="D353" s="16" t="s">
        <v>2</v>
      </c>
      <c r="E353" s="16" t="s">
        <v>3</v>
      </c>
      <c r="F353" s="16" t="s">
        <v>70</v>
      </c>
      <c r="G353" s="16" t="s">
        <v>6</v>
      </c>
      <c r="H353" s="16" t="s">
        <v>7</v>
      </c>
      <c r="I353" s="16" t="s">
        <v>8</v>
      </c>
      <c r="J353" s="16" t="s">
        <v>191</v>
      </c>
      <c r="K353" s="16" t="s">
        <v>11</v>
      </c>
      <c r="L353" s="16" t="s">
        <v>13</v>
      </c>
      <c r="M353" s="56" t="s">
        <v>192</v>
      </c>
      <c r="N353" s="2" t="s">
        <v>217</v>
      </c>
      <c r="O353" s="2" t="s">
        <v>218</v>
      </c>
      <c r="P353" s="107" t="s">
        <v>525</v>
      </c>
      <c r="Q353" s="2" t="s">
        <v>18</v>
      </c>
      <c r="R353" s="10" t="s">
        <v>526</v>
      </c>
      <c r="S353" s="10" t="s">
        <v>527</v>
      </c>
      <c r="T353" s="107" t="s">
        <v>528</v>
      </c>
    </row>
    <row r="354" spans="1:20" ht="15.75">
      <c r="A354" s="13" t="s">
        <v>524</v>
      </c>
      <c r="B354" s="2">
        <v>4825</v>
      </c>
      <c r="C354" s="2">
        <v>3299</v>
      </c>
      <c r="D354" s="2">
        <v>1744</v>
      </c>
      <c r="E354" s="2">
        <v>17080</v>
      </c>
      <c r="F354" s="2">
        <f>26277+788+2102</f>
        <v>29167</v>
      </c>
      <c r="G354" s="2">
        <f>21460+2956</f>
        <v>24416</v>
      </c>
      <c r="H354" s="2">
        <v>14338</v>
      </c>
      <c r="I354" s="2">
        <v>25883</v>
      </c>
      <c r="J354" s="2">
        <f>225847+115+1326</f>
        <v>227288</v>
      </c>
      <c r="K354" s="2">
        <v>40729</v>
      </c>
      <c r="L354" s="2">
        <v>39416</v>
      </c>
      <c r="M354" s="2">
        <f>43795+1314</f>
        <v>45109</v>
      </c>
      <c r="N354" s="2">
        <v>29027</v>
      </c>
      <c r="O354" s="2">
        <v>36600</v>
      </c>
      <c r="P354" s="114">
        <f aca="true" t="shared" si="66" ref="P354:P365">SUM(B354:O354)</f>
        <v>538921</v>
      </c>
      <c r="Q354" s="13" t="s">
        <v>524</v>
      </c>
      <c r="R354" s="9">
        <v>33894</v>
      </c>
      <c r="S354" s="9">
        <v>34479</v>
      </c>
      <c r="T354" s="117">
        <f>R354+S354</f>
        <v>68373</v>
      </c>
    </row>
    <row r="355" spans="1:20" ht="15.75">
      <c r="A355" s="13" t="s">
        <v>538</v>
      </c>
      <c r="B355" s="2">
        <v>4383</v>
      </c>
      <c r="C355" s="2">
        <v>2506</v>
      </c>
      <c r="D355" s="2">
        <v>1192</v>
      </c>
      <c r="E355" s="2">
        <v>11540</v>
      </c>
      <c r="F355" s="2">
        <f>17096+641+1539</f>
        <v>19276</v>
      </c>
      <c r="G355" s="2">
        <f>1923+13249</f>
        <v>15172</v>
      </c>
      <c r="H355" s="2">
        <v>10027</v>
      </c>
      <c r="I355" s="2">
        <v>18848</v>
      </c>
      <c r="J355" s="2">
        <f>185662+81+776</f>
        <v>186519</v>
      </c>
      <c r="K355" s="2">
        <v>31627</v>
      </c>
      <c r="L355" s="2">
        <v>23507</v>
      </c>
      <c r="M355" s="1">
        <f>31083+1539</f>
        <v>32622</v>
      </c>
      <c r="N355" s="2">
        <v>23333</v>
      </c>
      <c r="O355" s="2">
        <v>27541</v>
      </c>
      <c r="P355" s="114">
        <f t="shared" si="66"/>
        <v>408093</v>
      </c>
      <c r="Q355" s="13" t="s">
        <v>538</v>
      </c>
      <c r="R355" s="9">
        <v>24132</v>
      </c>
      <c r="S355" s="9">
        <v>26318</v>
      </c>
      <c r="T355" s="117">
        <f>R355+S355</f>
        <v>50450</v>
      </c>
    </row>
    <row r="356" spans="1:20" ht="15.75">
      <c r="A356" s="13" t="s">
        <v>542</v>
      </c>
      <c r="B356" s="2">
        <v>5626</v>
      </c>
      <c r="C356" s="2">
        <v>3437</v>
      </c>
      <c r="D356" s="2">
        <v>1910</v>
      </c>
      <c r="E356" s="2">
        <v>18894</v>
      </c>
      <c r="F356" s="2">
        <v>35522</v>
      </c>
      <c r="G356" s="2">
        <v>30756</v>
      </c>
      <c r="H356" s="2">
        <v>18642</v>
      </c>
      <c r="I356" s="2">
        <v>30735</v>
      </c>
      <c r="J356" s="2">
        <v>235517</v>
      </c>
      <c r="K356" s="2">
        <v>41358</v>
      </c>
      <c r="L356" s="2">
        <v>48286</v>
      </c>
      <c r="M356" s="2">
        <v>52790</v>
      </c>
      <c r="N356" s="2">
        <v>29667</v>
      </c>
      <c r="O356" s="2">
        <v>38638</v>
      </c>
      <c r="P356" s="114">
        <f t="shared" si="66"/>
        <v>591778</v>
      </c>
      <c r="Q356" s="13" t="s">
        <v>542</v>
      </c>
      <c r="R356" s="9">
        <v>15135</v>
      </c>
      <c r="S356" s="9">
        <v>16778</v>
      </c>
      <c r="T356" s="117">
        <f>R356+S356</f>
        <v>31913</v>
      </c>
    </row>
    <row r="357" spans="1:20" ht="15.75">
      <c r="A357" s="13" t="s">
        <v>554</v>
      </c>
      <c r="B357" s="2">
        <v>6214</v>
      </c>
      <c r="C357" s="2">
        <v>4814</v>
      </c>
      <c r="D357" s="2">
        <v>1345</v>
      </c>
      <c r="E357" s="2">
        <v>19396</v>
      </c>
      <c r="F357" s="2">
        <v>48878</v>
      </c>
      <c r="G357" s="2">
        <v>40301</v>
      </c>
      <c r="H357" s="2">
        <v>21319</v>
      </c>
      <c r="I357" s="2">
        <v>38361</v>
      </c>
      <c r="J357" s="2">
        <v>241765</v>
      </c>
      <c r="K357" s="2">
        <v>45041</v>
      </c>
      <c r="L357" s="2">
        <v>53877</v>
      </c>
      <c r="M357" s="2">
        <v>61730</v>
      </c>
      <c r="N357" s="2">
        <v>27748</v>
      </c>
      <c r="O357" s="2">
        <v>37692</v>
      </c>
      <c r="P357" s="114">
        <f t="shared" si="66"/>
        <v>648481</v>
      </c>
      <c r="Q357" s="13" t="s">
        <v>554</v>
      </c>
      <c r="R357" s="9">
        <v>34638</v>
      </c>
      <c r="S357" s="9">
        <v>36354</v>
      </c>
      <c r="T357" s="117">
        <f>SUM(R357:S357)</f>
        <v>70992</v>
      </c>
    </row>
    <row r="358" spans="1:20" ht="15.75">
      <c r="A358" s="13" t="s">
        <v>555</v>
      </c>
      <c r="B358" s="2">
        <v>10075</v>
      </c>
      <c r="C358" s="2">
        <v>9679</v>
      </c>
      <c r="D358" s="2">
        <v>300</v>
      </c>
      <c r="E358" s="2">
        <v>30379</v>
      </c>
      <c r="F358" s="2">
        <v>91138</v>
      </c>
      <c r="G358" s="2">
        <v>80404</v>
      </c>
      <c r="H358" s="2">
        <v>34277</v>
      </c>
      <c r="I358" s="2">
        <v>71371</v>
      </c>
      <c r="J358" s="2">
        <v>325221</v>
      </c>
      <c r="K358" s="2">
        <v>81619</v>
      </c>
      <c r="L358" s="2">
        <v>76961</v>
      </c>
      <c r="M358" s="2">
        <v>122232</v>
      </c>
      <c r="N358" s="2">
        <v>43722</v>
      </c>
      <c r="O358" s="2">
        <v>56009</v>
      </c>
      <c r="P358" s="114">
        <f t="shared" si="66"/>
        <v>1033387</v>
      </c>
      <c r="Q358" s="13" t="s">
        <v>555</v>
      </c>
      <c r="R358" s="9">
        <v>58074</v>
      </c>
      <c r="S358" s="9">
        <v>60599</v>
      </c>
      <c r="T358" s="117">
        <f aca="true" t="shared" si="67" ref="T358:T365">R358+S358</f>
        <v>118673</v>
      </c>
    </row>
    <row r="359" spans="1:20" ht="15.75">
      <c r="A359" s="13" t="s">
        <v>556</v>
      </c>
      <c r="B359" s="2">
        <v>8968</v>
      </c>
      <c r="C359" s="2">
        <v>9958</v>
      </c>
      <c r="D359" s="2">
        <v>337</v>
      </c>
      <c r="E359" s="2">
        <v>26992</v>
      </c>
      <c r="F359" s="2">
        <v>83920</v>
      </c>
      <c r="G359" s="2">
        <v>76273</v>
      </c>
      <c r="H359" s="2">
        <v>30499</v>
      </c>
      <c r="I359" s="2">
        <v>71978</v>
      </c>
      <c r="J359" s="2">
        <v>288967</v>
      </c>
      <c r="K359" s="2">
        <v>79442</v>
      </c>
      <c r="L359" s="2">
        <v>69524</v>
      </c>
      <c r="M359" s="2">
        <v>117202</v>
      </c>
      <c r="N359" s="2">
        <v>40943</v>
      </c>
      <c r="O359" s="2">
        <v>51000</v>
      </c>
      <c r="P359" s="114">
        <f t="shared" si="66"/>
        <v>956003</v>
      </c>
      <c r="Q359" s="13" t="s">
        <v>556</v>
      </c>
      <c r="R359" s="9">
        <v>40440</v>
      </c>
      <c r="S359" s="9">
        <v>41645</v>
      </c>
      <c r="T359" s="108">
        <f t="shared" si="67"/>
        <v>82085</v>
      </c>
    </row>
    <row r="360" spans="1:20" ht="15.75">
      <c r="A360" s="13" t="s">
        <v>557</v>
      </c>
      <c r="B360" s="2">
        <v>10943</v>
      </c>
      <c r="C360" s="2">
        <v>11551</v>
      </c>
      <c r="D360" s="2">
        <v>415</v>
      </c>
      <c r="E360" s="2">
        <v>24365</v>
      </c>
      <c r="F360" s="2">
        <v>21501</v>
      </c>
      <c r="G360" s="2">
        <v>67751</v>
      </c>
      <c r="H360" s="2">
        <v>12115</v>
      </c>
      <c r="I360" s="2">
        <v>69204</v>
      </c>
      <c r="J360" s="2">
        <v>229085</v>
      </c>
      <c r="K360" s="2">
        <v>75979</v>
      </c>
      <c r="L360" s="2">
        <v>27784</v>
      </c>
      <c r="M360" s="2">
        <v>78037</v>
      </c>
      <c r="N360" s="2">
        <v>46829</v>
      </c>
      <c r="O360" s="2">
        <v>47364</v>
      </c>
      <c r="P360" s="114">
        <f t="shared" si="66"/>
        <v>722923</v>
      </c>
      <c r="Q360" s="13" t="s">
        <v>557</v>
      </c>
      <c r="R360" s="9">
        <v>48248</v>
      </c>
      <c r="S360" s="9">
        <v>47753</v>
      </c>
      <c r="T360" s="108">
        <f t="shared" si="67"/>
        <v>96001</v>
      </c>
    </row>
    <row r="361" spans="1:20" ht="15.75">
      <c r="A361" s="13" t="s">
        <v>558</v>
      </c>
      <c r="B361" s="2">
        <v>9004</v>
      </c>
      <c r="C361" s="2">
        <v>10900</v>
      </c>
      <c r="D361" s="2">
        <v>483</v>
      </c>
      <c r="E361" s="2">
        <v>21290</v>
      </c>
      <c r="F361" s="2">
        <v>28584</v>
      </c>
      <c r="G361" s="2">
        <v>56183</v>
      </c>
      <c r="H361" s="2">
        <v>12596</v>
      </c>
      <c r="I361" s="2">
        <v>58154</v>
      </c>
      <c r="J361" s="2">
        <v>217975</v>
      </c>
      <c r="K361" s="2">
        <v>66237</v>
      </c>
      <c r="L361" s="2">
        <v>27599</v>
      </c>
      <c r="M361" s="2">
        <v>69750</v>
      </c>
      <c r="N361" s="2">
        <v>41418</v>
      </c>
      <c r="O361" s="2">
        <v>40783</v>
      </c>
      <c r="P361" s="114">
        <f t="shared" si="66"/>
        <v>660956</v>
      </c>
      <c r="Q361" s="13" t="s">
        <v>558</v>
      </c>
      <c r="R361" s="9">
        <v>19941</v>
      </c>
      <c r="S361" s="9">
        <v>6482</v>
      </c>
      <c r="T361" s="108">
        <f t="shared" si="67"/>
        <v>26423</v>
      </c>
    </row>
    <row r="362" spans="1:20" ht="15.75">
      <c r="A362" s="13" t="s">
        <v>559</v>
      </c>
      <c r="B362" s="2">
        <v>7421</v>
      </c>
      <c r="C362" s="2">
        <v>8213</v>
      </c>
      <c r="D362" s="2">
        <v>389</v>
      </c>
      <c r="E362" s="2">
        <v>22384</v>
      </c>
      <c r="F362" s="2">
        <v>74305</v>
      </c>
      <c r="G362" s="2">
        <v>52118</v>
      </c>
      <c r="H362" s="2">
        <v>24009</v>
      </c>
      <c r="I362" s="2">
        <v>60260</v>
      </c>
      <c r="J362" s="2">
        <v>271233</v>
      </c>
      <c r="K362" s="2">
        <v>73076</v>
      </c>
      <c r="L362" s="2">
        <v>57056</v>
      </c>
      <c r="M362" s="2">
        <v>101129</v>
      </c>
      <c r="N362" s="2">
        <v>39525</v>
      </c>
      <c r="O362" s="2">
        <v>47716</v>
      </c>
      <c r="P362" s="114">
        <f t="shared" si="66"/>
        <v>838834</v>
      </c>
      <c r="Q362" s="13" t="s">
        <v>559</v>
      </c>
      <c r="R362" s="9">
        <v>26356</v>
      </c>
      <c r="S362" s="9">
        <v>11808</v>
      </c>
      <c r="T362" s="108">
        <f t="shared" si="67"/>
        <v>38164</v>
      </c>
    </row>
    <row r="363" spans="1:20" ht="15.75">
      <c r="A363" s="13" t="s">
        <v>560</v>
      </c>
      <c r="B363" s="2">
        <v>5411</v>
      </c>
      <c r="C363" s="2">
        <v>4629</v>
      </c>
      <c r="D363" s="2">
        <v>337</v>
      </c>
      <c r="E363" s="2">
        <v>21408</v>
      </c>
      <c r="F363" s="2">
        <v>48189</v>
      </c>
      <c r="G363" s="2">
        <v>33686</v>
      </c>
      <c r="H363" s="2">
        <v>20305</v>
      </c>
      <c r="I363" s="2">
        <v>40172</v>
      </c>
      <c r="J363" s="2">
        <v>239683</v>
      </c>
      <c r="K363" s="2">
        <v>41872</v>
      </c>
      <c r="L363" s="2">
        <v>50373</v>
      </c>
      <c r="M363" s="2">
        <v>62928</v>
      </c>
      <c r="N363" s="2">
        <v>30806</v>
      </c>
      <c r="O363" s="2">
        <v>39134</v>
      </c>
      <c r="P363" s="114">
        <f t="shared" si="66"/>
        <v>638933</v>
      </c>
      <c r="Q363" s="13" t="s">
        <v>560</v>
      </c>
      <c r="R363" s="9">
        <v>42759</v>
      </c>
      <c r="S363" s="9">
        <v>44819</v>
      </c>
      <c r="T363" s="108">
        <f t="shared" si="67"/>
        <v>87578</v>
      </c>
    </row>
    <row r="364" spans="1:20" ht="15.75">
      <c r="A364" s="13" t="s">
        <v>561</v>
      </c>
      <c r="B364" s="2">
        <v>4866</v>
      </c>
      <c r="C364" s="2">
        <v>3822</v>
      </c>
      <c r="D364" s="2">
        <v>354</v>
      </c>
      <c r="E364" s="2">
        <v>18137</v>
      </c>
      <c r="F364" s="2">
        <v>42441</v>
      </c>
      <c r="G364" s="2">
        <v>31237</v>
      </c>
      <c r="H364" s="2">
        <v>17550</v>
      </c>
      <c r="I364" s="2">
        <v>35952</v>
      </c>
      <c r="J364" s="2">
        <v>224822</v>
      </c>
      <c r="K364" s="2">
        <v>41212</v>
      </c>
      <c r="L364" s="2">
        <v>48366</v>
      </c>
      <c r="M364" s="2">
        <v>59212</v>
      </c>
      <c r="N364" s="2">
        <v>28866</v>
      </c>
      <c r="O364" s="2">
        <v>36545</v>
      </c>
      <c r="P364" s="114">
        <f t="shared" si="66"/>
        <v>593382</v>
      </c>
      <c r="Q364" s="13" t="s">
        <v>561</v>
      </c>
      <c r="R364" s="9">
        <v>44061</v>
      </c>
      <c r="S364" s="9">
        <v>45455</v>
      </c>
      <c r="T364" s="108">
        <f t="shared" si="67"/>
        <v>89516</v>
      </c>
    </row>
    <row r="365" spans="1:20" ht="15.75">
      <c r="A365" s="13" t="s">
        <v>562</v>
      </c>
      <c r="B365" s="2">
        <v>4433</v>
      </c>
      <c r="C365" s="2">
        <v>2979</v>
      </c>
      <c r="D365" s="2">
        <v>312</v>
      </c>
      <c r="E365" s="2">
        <v>17164</v>
      </c>
      <c r="F365" s="2">
        <v>36307</v>
      </c>
      <c r="G365" s="2">
        <v>28606</v>
      </c>
      <c r="H365" s="2">
        <v>16484</v>
      </c>
      <c r="I365" s="2">
        <v>31203</v>
      </c>
      <c r="J365" s="2">
        <v>238337</v>
      </c>
      <c r="K365" s="2">
        <v>39608</v>
      </c>
      <c r="L365" s="2">
        <v>50611</v>
      </c>
      <c r="M365" s="2">
        <v>51331</v>
      </c>
      <c r="N365" s="2">
        <v>28802</v>
      </c>
      <c r="O365" s="2">
        <v>37278</v>
      </c>
      <c r="P365" s="114">
        <f t="shared" si="66"/>
        <v>583455</v>
      </c>
      <c r="Q365" s="13" t="s">
        <v>562</v>
      </c>
      <c r="R365" s="9">
        <v>43080</v>
      </c>
      <c r="S365" s="9">
        <v>43598</v>
      </c>
      <c r="T365" s="108">
        <f t="shared" si="67"/>
        <v>86678</v>
      </c>
    </row>
    <row r="366" spans="1:20" ht="15.75">
      <c r="A366" s="52" t="s">
        <v>74</v>
      </c>
      <c r="B366" s="2">
        <f aca="true" t="shared" si="68" ref="B366:O366">SUM(B354:B365)</f>
        <v>82169</v>
      </c>
      <c r="C366" s="2">
        <f t="shared" si="68"/>
        <v>75787</v>
      </c>
      <c r="D366" s="2">
        <f t="shared" si="68"/>
        <v>9118</v>
      </c>
      <c r="E366" s="2">
        <f t="shared" si="68"/>
        <v>249029</v>
      </c>
      <c r="F366" s="2">
        <f t="shared" si="68"/>
        <v>559228</v>
      </c>
      <c r="G366" s="2">
        <f t="shared" si="68"/>
        <v>536903</v>
      </c>
      <c r="H366" s="2">
        <f t="shared" si="68"/>
        <v>232161</v>
      </c>
      <c r="I366" s="2">
        <f t="shared" si="68"/>
        <v>552121</v>
      </c>
      <c r="J366" s="2">
        <f t="shared" si="68"/>
        <v>2926412</v>
      </c>
      <c r="K366" s="2">
        <f t="shared" si="68"/>
        <v>657800</v>
      </c>
      <c r="L366" s="2">
        <f t="shared" si="68"/>
        <v>573360</v>
      </c>
      <c r="M366" s="2">
        <f t="shared" si="68"/>
        <v>854072</v>
      </c>
      <c r="N366" s="2">
        <f t="shared" si="68"/>
        <v>410686</v>
      </c>
      <c r="O366" s="2">
        <f t="shared" si="68"/>
        <v>496300</v>
      </c>
      <c r="P366" s="115">
        <f>SUM(B366:O366)</f>
        <v>8215146</v>
      </c>
      <c r="Q366" s="2"/>
      <c r="R366" s="111">
        <f>SUM(R354:R365)</f>
        <v>430758</v>
      </c>
      <c r="S366" s="111">
        <f>SUM(S354:S365)</f>
        <v>416088</v>
      </c>
      <c r="T366" s="112">
        <f>SUM(R366:S366)</f>
        <v>846846</v>
      </c>
    </row>
    <row r="367" spans="1:20" ht="15.75">
      <c r="A367" s="82" t="s">
        <v>295</v>
      </c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113"/>
      <c r="Q367" s="2"/>
      <c r="R367" s="9"/>
      <c r="S367" s="9"/>
      <c r="T367" s="108"/>
    </row>
    <row r="368" spans="1:20" ht="15.75">
      <c r="A368" s="82" t="s">
        <v>297</v>
      </c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113"/>
      <c r="Q368" s="2"/>
      <c r="R368" s="9"/>
      <c r="S368" s="9"/>
      <c r="T368" s="108"/>
    </row>
    <row r="369" spans="1:20" ht="15.75">
      <c r="A369" s="82" t="s">
        <v>299</v>
      </c>
      <c r="B369" s="86">
        <v>3.8</v>
      </c>
      <c r="C369" s="86">
        <v>3.8</v>
      </c>
      <c r="D369" s="86">
        <v>3.8</v>
      </c>
      <c r="E369" s="86">
        <v>3.8</v>
      </c>
      <c r="F369" s="86">
        <v>3.8</v>
      </c>
      <c r="G369" s="86">
        <v>3.8</v>
      </c>
      <c r="H369" s="86">
        <v>3.8</v>
      </c>
      <c r="I369" s="86">
        <v>3.8</v>
      </c>
      <c r="J369" s="86">
        <v>3.8</v>
      </c>
      <c r="K369" s="86">
        <v>3.8</v>
      </c>
      <c r="L369" s="86">
        <v>3.8</v>
      </c>
      <c r="M369" s="86">
        <v>3.8</v>
      </c>
      <c r="N369" s="86">
        <v>3.8</v>
      </c>
      <c r="O369" s="86">
        <v>3.8</v>
      </c>
      <c r="P369" s="113">
        <v>3.8</v>
      </c>
      <c r="Q369" s="2"/>
      <c r="R369" s="77">
        <v>3.8</v>
      </c>
      <c r="S369" s="77">
        <v>3.8</v>
      </c>
      <c r="T369" s="113">
        <v>3.8</v>
      </c>
    </row>
  </sheetData>
  <sheetProtection/>
  <mergeCells count="2">
    <mergeCell ref="A1:C1"/>
    <mergeCell ref="A155:C155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6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70"/>
  <sheetViews>
    <sheetView zoomScaleSheetLayoutView="100" zoomScalePageLayoutView="0" workbookViewId="0" topLeftCell="A198">
      <pane xSplit="1" ySplit="1" topLeftCell="F355" activePane="bottomRight" state="frozen"/>
      <selection pane="topLeft" activeCell="A198" sqref="A198"/>
      <selection pane="topRight" activeCell="B198" sqref="B198"/>
      <selection pane="bottomLeft" activeCell="A199" sqref="A199"/>
      <selection pane="bottomRight" activeCell="W369" sqref="W369"/>
    </sheetView>
  </sheetViews>
  <sheetFormatPr defaultColWidth="5.8125" defaultRowHeight="25.5"/>
  <cols>
    <col min="1" max="1" width="6.6328125" style="8" customWidth="1"/>
    <col min="2" max="4" width="5.8125" style="8" customWidth="1"/>
    <col min="5" max="13" width="6.54296875" style="8" customWidth="1"/>
    <col min="14" max="14" width="5.8125" style="8" customWidth="1"/>
    <col min="15" max="18" width="6.54296875" style="8" customWidth="1"/>
    <col min="19" max="19" width="5.8125" style="8" customWidth="1"/>
    <col min="20" max="21" width="8.36328125" style="8" customWidth="1"/>
    <col min="22" max="22" width="8.18359375" style="8" customWidth="1"/>
    <col min="23" max="23" width="7.2734375" style="8" customWidth="1"/>
    <col min="24" max="24" width="7.6328125" style="8" customWidth="1"/>
    <col min="25" max="25" width="7.8125" style="8" customWidth="1"/>
    <col min="26" max="26" width="7.0859375" style="8" customWidth="1"/>
    <col min="27" max="16384" width="5.8125" style="8" customWidth="1"/>
  </cols>
  <sheetData>
    <row r="1" spans="1:3" ht="15.75">
      <c r="A1" s="120" t="s">
        <v>77</v>
      </c>
      <c r="B1" s="120"/>
      <c r="C1" s="120"/>
    </row>
    <row r="2" spans="1:20" ht="19.5" customHeight="1">
      <c r="A2" s="9" t="s">
        <v>18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10" t="s">
        <v>68</v>
      </c>
    </row>
    <row r="3" spans="1:20" ht="15.75">
      <c r="A3" s="13" t="s">
        <v>47</v>
      </c>
      <c r="B3" s="11">
        <v>1563</v>
      </c>
      <c r="C3" s="11">
        <v>354</v>
      </c>
      <c r="D3" s="11">
        <v>829</v>
      </c>
      <c r="E3" s="11">
        <v>1364</v>
      </c>
      <c r="F3" s="11">
        <v>1616</v>
      </c>
      <c r="G3" s="11">
        <v>1955</v>
      </c>
      <c r="H3" s="11">
        <v>3533</v>
      </c>
      <c r="I3" s="11">
        <v>2723</v>
      </c>
      <c r="J3" s="11">
        <v>4894</v>
      </c>
      <c r="K3" s="11">
        <v>1434</v>
      </c>
      <c r="L3" s="11">
        <v>1781</v>
      </c>
      <c r="M3" s="9">
        <f>978+1927+2091</f>
        <v>4996</v>
      </c>
      <c r="N3" s="11">
        <v>1484</v>
      </c>
      <c r="O3" s="9">
        <f>10249+10467</f>
        <v>20716</v>
      </c>
      <c r="P3" s="9">
        <f>1878+1710</f>
        <v>3588</v>
      </c>
      <c r="Q3" s="11">
        <v>4669</v>
      </c>
      <c r="R3" s="11">
        <v>1625</v>
      </c>
      <c r="S3" s="11">
        <v>744</v>
      </c>
      <c r="T3" s="9">
        <f aca="true" t="shared" si="0" ref="T3:T14">SUM(B3:S3)</f>
        <v>59868</v>
      </c>
    </row>
    <row r="4" spans="1:20" ht="15.75">
      <c r="A4" s="13" t="s">
        <v>48</v>
      </c>
      <c r="B4" s="9">
        <v>848</v>
      </c>
      <c r="C4" s="9">
        <v>101</v>
      </c>
      <c r="D4" s="9">
        <v>296</v>
      </c>
      <c r="E4" s="9">
        <v>701</v>
      </c>
      <c r="F4" s="9">
        <v>975</v>
      </c>
      <c r="G4" s="9">
        <v>987</v>
      </c>
      <c r="H4" s="9">
        <v>1693</v>
      </c>
      <c r="I4" s="9">
        <v>1457</v>
      </c>
      <c r="J4" s="9">
        <v>2023</v>
      </c>
      <c r="K4" s="9">
        <v>771</v>
      </c>
      <c r="L4" s="9">
        <v>791</v>
      </c>
      <c r="M4" s="9">
        <f>422+1011+877</f>
        <v>2310</v>
      </c>
      <c r="N4" s="9">
        <v>668</v>
      </c>
      <c r="O4" s="9">
        <f>6374+6531</f>
        <v>12905</v>
      </c>
      <c r="P4" s="9">
        <f>965+680</f>
        <v>1645</v>
      </c>
      <c r="Q4" s="9">
        <v>2722</v>
      </c>
      <c r="R4" s="9">
        <v>859</v>
      </c>
      <c r="S4" s="9">
        <v>343</v>
      </c>
      <c r="T4" s="9">
        <f t="shared" si="0"/>
        <v>32095</v>
      </c>
    </row>
    <row r="5" spans="1:20" ht="15.75">
      <c r="A5" s="13" t="s">
        <v>49</v>
      </c>
      <c r="B5" s="9">
        <v>1582</v>
      </c>
      <c r="C5" s="9">
        <v>173</v>
      </c>
      <c r="D5" s="9">
        <v>704</v>
      </c>
      <c r="E5" s="9">
        <v>1546</v>
      </c>
      <c r="F5" s="9">
        <v>1782</v>
      </c>
      <c r="G5" s="9">
        <v>2457</v>
      </c>
      <c r="H5" s="9">
        <v>3126</v>
      </c>
      <c r="I5" s="9">
        <v>2960</v>
      </c>
      <c r="J5" s="9">
        <v>3570</v>
      </c>
      <c r="K5" s="9">
        <v>1662</v>
      </c>
      <c r="L5" s="9">
        <v>2113</v>
      </c>
      <c r="M5" s="9">
        <f>883+1807+1672</f>
        <v>4362</v>
      </c>
      <c r="N5" s="9">
        <v>1279</v>
      </c>
      <c r="O5" s="9">
        <f>17387+17667</f>
        <v>35054</v>
      </c>
      <c r="P5" s="9">
        <f>2051+1656</f>
        <v>3707</v>
      </c>
      <c r="Q5" s="9">
        <v>3110</v>
      </c>
      <c r="R5" s="9">
        <v>1697</v>
      </c>
      <c r="S5" s="9">
        <v>812</v>
      </c>
      <c r="T5" s="9">
        <f t="shared" si="0"/>
        <v>71696</v>
      </c>
    </row>
    <row r="6" spans="1:20" ht="15.75">
      <c r="A6" s="13" t="s">
        <v>50</v>
      </c>
      <c r="B6" s="9">
        <v>828</v>
      </c>
      <c r="C6" s="9">
        <v>88</v>
      </c>
      <c r="D6" s="9">
        <v>0</v>
      </c>
      <c r="E6" s="9">
        <v>852</v>
      </c>
      <c r="F6" s="9">
        <v>970</v>
      </c>
      <c r="G6" s="9">
        <v>1362</v>
      </c>
      <c r="H6" s="9">
        <v>1725</v>
      </c>
      <c r="I6" s="9">
        <v>1609</v>
      </c>
      <c r="J6" s="9">
        <v>1873</v>
      </c>
      <c r="K6" s="9">
        <v>940</v>
      </c>
      <c r="L6" s="9">
        <v>1161</v>
      </c>
      <c r="M6" s="9">
        <f>403+1067+913</f>
        <v>2383</v>
      </c>
      <c r="N6" s="9">
        <v>701</v>
      </c>
      <c r="O6" s="9">
        <f>10908+11116</f>
        <v>22024</v>
      </c>
      <c r="P6" s="9">
        <f>1216+963</f>
        <v>2179</v>
      </c>
      <c r="Q6" s="9">
        <v>2059</v>
      </c>
      <c r="R6" s="9">
        <v>979</v>
      </c>
      <c r="S6" s="9">
        <v>468</v>
      </c>
      <c r="T6" s="9">
        <f t="shared" si="0"/>
        <v>42201</v>
      </c>
    </row>
    <row r="7" spans="1:20" ht="15.75">
      <c r="A7" s="13" t="s">
        <v>51</v>
      </c>
      <c r="B7" s="9">
        <v>883</v>
      </c>
      <c r="C7" s="9">
        <v>97</v>
      </c>
      <c r="D7" s="9">
        <v>473</v>
      </c>
      <c r="E7" s="9">
        <v>897</v>
      </c>
      <c r="F7" s="9">
        <v>999</v>
      </c>
      <c r="G7" s="9">
        <v>1288</v>
      </c>
      <c r="H7" s="9">
        <v>1729</v>
      </c>
      <c r="I7" s="9">
        <v>1632</v>
      </c>
      <c r="J7" s="9">
        <v>1807</v>
      </c>
      <c r="K7" s="9">
        <v>907</v>
      </c>
      <c r="L7" s="9">
        <v>1167</v>
      </c>
      <c r="M7" s="9">
        <f>481+915+1055</f>
        <v>2451</v>
      </c>
      <c r="N7" s="9">
        <v>644</v>
      </c>
      <c r="O7" s="9">
        <f>13748+14001</f>
        <v>27749</v>
      </c>
      <c r="P7" s="9">
        <f>1556+978</f>
        <v>2534</v>
      </c>
      <c r="Q7" s="9">
        <v>2068</v>
      </c>
      <c r="R7" s="9">
        <v>983</v>
      </c>
      <c r="S7" s="9">
        <v>427</v>
      </c>
      <c r="T7" s="9">
        <f t="shared" si="0"/>
        <v>48735</v>
      </c>
    </row>
    <row r="8" spans="1:20" ht="15.75">
      <c r="A8" s="13" t="s">
        <v>52</v>
      </c>
      <c r="B8" s="9">
        <v>761</v>
      </c>
      <c r="C8" s="9">
        <v>73</v>
      </c>
      <c r="D8" s="9">
        <v>400</v>
      </c>
      <c r="E8" s="9">
        <v>711</v>
      </c>
      <c r="F8" s="9">
        <v>787</v>
      </c>
      <c r="G8" s="9">
        <v>1077</v>
      </c>
      <c r="H8" s="9">
        <v>1374</v>
      </c>
      <c r="I8" s="9">
        <v>1329</v>
      </c>
      <c r="J8" s="9">
        <v>1390</v>
      </c>
      <c r="K8" s="9">
        <v>694</v>
      </c>
      <c r="L8" s="9">
        <v>879</v>
      </c>
      <c r="M8" s="9">
        <f>544+672+713</f>
        <v>1929</v>
      </c>
      <c r="N8" s="9">
        <v>515</v>
      </c>
      <c r="O8" s="9">
        <f>10953+11170</f>
        <v>22123</v>
      </c>
      <c r="P8" s="9">
        <f>1426+788</f>
        <v>2214</v>
      </c>
      <c r="Q8" s="9">
        <v>1629</v>
      </c>
      <c r="R8" s="9">
        <v>794</v>
      </c>
      <c r="S8" s="9">
        <v>275</v>
      </c>
      <c r="T8" s="9">
        <f t="shared" si="0"/>
        <v>38954</v>
      </c>
    </row>
    <row r="9" spans="1:20" ht="15.75">
      <c r="A9" s="13" t="s">
        <v>53</v>
      </c>
      <c r="B9" s="9">
        <v>853</v>
      </c>
      <c r="C9" s="9">
        <v>48</v>
      </c>
      <c r="D9" s="9">
        <v>754</v>
      </c>
      <c r="E9" s="9">
        <v>643</v>
      </c>
      <c r="F9" s="9">
        <v>387</v>
      </c>
      <c r="G9" s="9">
        <v>224</v>
      </c>
      <c r="H9" s="9">
        <v>1290</v>
      </c>
      <c r="I9" s="9">
        <v>833</v>
      </c>
      <c r="J9" s="9">
        <v>1818</v>
      </c>
      <c r="K9" s="9">
        <v>574</v>
      </c>
      <c r="L9" s="9">
        <v>225</v>
      </c>
      <c r="M9" s="9">
        <f>668+728+657</f>
        <v>2053</v>
      </c>
      <c r="N9" s="9">
        <v>452</v>
      </c>
      <c r="O9" s="9">
        <f>4735+4961</f>
        <v>9696</v>
      </c>
      <c r="P9" s="9">
        <f>1516+591</f>
        <v>2107</v>
      </c>
      <c r="Q9" s="9">
        <v>1611</v>
      </c>
      <c r="R9" s="9">
        <v>614</v>
      </c>
      <c r="S9" s="9">
        <v>161</v>
      </c>
      <c r="T9" s="9">
        <f t="shared" si="0"/>
        <v>24343</v>
      </c>
    </row>
    <row r="10" spans="1:20" ht="15.75">
      <c r="A10" s="13" t="s">
        <v>54</v>
      </c>
      <c r="B10" s="9">
        <v>764</v>
      </c>
      <c r="C10" s="9">
        <v>44</v>
      </c>
      <c r="D10" s="9">
        <v>206</v>
      </c>
      <c r="E10" s="9">
        <v>507</v>
      </c>
      <c r="F10" s="9">
        <v>317</v>
      </c>
      <c r="G10" s="9">
        <v>140</v>
      </c>
      <c r="H10" s="9">
        <v>1060</v>
      </c>
      <c r="I10" s="9">
        <v>1641</v>
      </c>
      <c r="J10" s="9">
        <v>618</v>
      </c>
      <c r="K10" s="9">
        <v>440</v>
      </c>
      <c r="L10" s="9">
        <v>237</v>
      </c>
      <c r="M10" s="9">
        <f>367+673+702</f>
        <v>1742</v>
      </c>
      <c r="N10" s="9">
        <v>366</v>
      </c>
      <c r="O10" s="9">
        <f>6526+6743</f>
        <v>13269</v>
      </c>
      <c r="P10" s="9">
        <f>1377+464</f>
        <v>1841</v>
      </c>
      <c r="Q10" s="9">
        <v>1383</v>
      </c>
      <c r="R10" s="9">
        <v>515</v>
      </c>
      <c r="S10" s="9">
        <v>176</v>
      </c>
      <c r="T10" s="9">
        <f t="shared" si="0"/>
        <v>25266</v>
      </c>
    </row>
    <row r="11" spans="1:20" ht="15.75">
      <c r="A11" s="13" t="s">
        <v>55</v>
      </c>
      <c r="B11" s="9">
        <v>764</v>
      </c>
      <c r="C11" s="9">
        <v>22</v>
      </c>
      <c r="D11" s="9">
        <v>252</v>
      </c>
      <c r="E11" s="9">
        <v>753</v>
      </c>
      <c r="F11" s="9">
        <v>587</v>
      </c>
      <c r="G11" s="9">
        <v>704</v>
      </c>
      <c r="H11" s="9">
        <v>1260</v>
      </c>
      <c r="I11" s="9">
        <v>1388</v>
      </c>
      <c r="J11" s="9">
        <v>1330</v>
      </c>
      <c r="K11" s="9">
        <v>623</v>
      </c>
      <c r="L11" s="9">
        <v>808</v>
      </c>
      <c r="M11" s="9">
        <f>132+742+848</f>
        <v>1722</v>
      </c>
      <c r="N11" s="9">
        <v>406</v>
      </c>
      <c r="O11" s="9">
        <f>8688+8931</f>
        <v>17619</v>
      </c>
      <c r="P11" s="9">
        <f>1418+750</f>
        <v>2168</v>
      </c>
      <c r="Q11" s="9">
        <v>1609</v>
      </c>
      <c r="R11" s="9">
        <v>836</v>
      </c>
      <c r="S11" s="9">
        <v>344</v>
      </c>
      <c r="T11" s="9">
        <f t="shared" si="0"/>
        <v>33195</v>
      </c>
    </row>
    <row r="12" spans="1:20" ht="15.75">
      <c r="A12" s="13" t="s">
        <v>56</v>
      </c>
      <c r="B12" s="9">
        <v>407</v>
      </c>
      <c r="C12" s="9">
        <v>636</v>
      </c>
      <c r="D12" s="9">
        <v>402</v>
      </c>
      <c r="E12" s="9">
        <v>1382</v>
      </c>
      <c r="F12" s="9">
        <v>1191</v>
      </c>
      <c r="G12" s="9">
        <v>1465</v>
      </c>
      <c r="H12" s="9">
        <v>2250</v>
      </c>
      <c r="I12" s="9">
        <v>2439</v>
      </c>
      <c r="J12" s="9">
        <v>2453</v>
      </c>
      <c r="K12" s="9">
        <v>1255</v>
      </c>
      <c r="L12" s="9">
        <v>1544</v>
      </c>
      <c r="M12" s="9">
        <f>280+1561+1136</f>
        <v>2977</v>
      </c>
      <c r="N12" s="9">
        <v>801</v>
      </c>
      <c r="O12" s="9">
        <f>13872+14228</f>
        <v>28100</v>
      </c>
      <c r="P12" s="9">
        <f>2139+1368</f>
        <v>3507</v>
      </c>
      <c r="Q12" s="9">
        <v>2737</v>
      </c>
      <c r="R12" s="9">
        <v>1493</v>
      </c>
      <c r="S12" s="9">
        <v>646</v>
      </c>
      <c r="T12" s="9">
        <f t="shared" si="0"/>
        <v>55685</v>
      </c>
    </row>
    <row r="13" spans="1:20" ht="15.75">
      <c r="A13" s="13" t="s">
        <v>57</v>
      </c>
      <c r="B13" s="9">
        <v>276</v>
      </c>
      <c r="C13" s="9">
        <v>826</v>
      </c>
      <c r="D13" s="9">
        <v>443</v>
      </c>
      <c r="E13" s="9">
        <v>1549</v>
      </c>
      <c r="F13" s="9">
        <v>1581</v>
      </c>
      <c r="G13" s="9">
        <v>1743</v>
      </c>
      <c r="H13" s="9">
        <v>2623</v>
      </c>
      <c r="I13" s="9">
        <v>2664</v>
      </c>
      <c r="J13" s="9">
        <v>2943</v>
      </c>
      <c r="K13" s="9">
        <v>1553</v>
      </c>
      <c r="L13" s="9">
        <v>1847</v>
      </c>
      <c r="M13" s="9">
        <f>444+1611+1183</f>
        <v>3238</v>
      </c>
      <c r="N13" s="9">
        <v>980</v>
      </c>
      <c r="O13" s="9">
        <f>13509+13886</f>
        <v>27395</v>
      </c>
      <c r="P13" s="9">
        <f>2105+1624</f>
        <v>3729</v>
      </c>
      <c r="Q13" s="9">
        <v>3131</v>
      </c>
      <c r="R13" s="9">
        <v>1637</v>
      </c>
      <c r="S13" s="9">
        <v>756</v>
      </c>
      <c r="T13" s="9">
        <f t="shared" si="0"/>
        <v>58914</v>
      </c>
    </row>
    <row r="14" spans="1:20" ht="15.75">
      <c r="A14" s="13" t="s">
        <v>58</v>
      </c>
      <c r="B14" s="9">
        <v>451</v>
      </c>
      <c r="C14" s="9">
        <v>1019</v>
      </c>
      <c r="D14" s="9">
        <v>109</v>
      </c>
      <c r="E14" s="9">
        <v>1820</v>
      </c>
      <c r="F14" s="9">
        <v>1923</v>
      </c>
      <c r="G14" s="9">
        <v>2088</v>
      </c>
      <c r="H14" s="9">
        <v>3084</v>
      </c>
      <c r="I14" s="9">
        <v>3080</v>
      </c>
      <c r="J14" s="9">
        <v>3458</v>
      </c>
      <c r="K14" s="9">
        <v>1814</v>
      </c>
      <c r="L14" s="9">
        <v>2205</v>
      </c>
      <c r="M14" s="9">
        <f>578+1751+1365</f>
        <v>3694</v>
      </c>
      <c r="N14" s="9">
        <v>1142</v>
      </c>
      <c r="O14" s="9">
        <f>14191+14589</f>
        <v>28780</v>
      </c>
      <c r="P14" s="9">
        <f>2138+2181</f>
        <v>4319</v>
      </c>
      <c r="Q14" s="9">
        <v>3612</v>
      </c>
      <c r="R14" s="9">
        <v>1926</v>
      </c>
      <c r="S14" s="9">
        <v>923</v>
      </c>
      <c r="T14" s="9">
        <f t="shared" si="0"/>
        <v>65447</v>
      </c>
    </row>
    <row r="15" spans="1:20" ht="15.75">
      <c r="A15" s="13" t="s">
        <v>111</v>
      </c>
      <c r="B15" s="9">
        <f>SUM(B3:B14)</f>
        <v>9980</v>
      </c>
      <c r="C15" s="9">
        <f aca="true" t="shared" si="1" ref="C15:T16">SUM(C3:C14)</f>
        <v>3481</v>
      </c>
      <c r="D15" s="9">
        <f t="shared" si="1"/>
        <v>4868</v>
      </c>
      <c r="E15" s="9">
        <f t="shared" si="1"/>
        <v>12725</v>
      </c>
      <c r="F15" s="9">
        <f t="shared" si="1"/>
        <v>13115</v>
      </c>
      <c r="G15" s="9">
        <f t="shared" si="1"/>
        <v>15490</v>
      </c>
      <c r="H15" s="9">
        <f t="shared" si="1"/>
        <v>24747</v>
      </c>
      <c r="I15" s="9">
        <f t="shared" si="1"/>
        <v>23755</v>
      </c>
      <c r="J15" s="9">
        <f t="shared" si="1"/>
        <v>28177</v>
      </c>
      <c r="K15" s="9">
        <f t="shared" si="1"/>
        <v>12667</v>
      </c>
      <c r="L15" s="9">
        <f t="shared" si="1"/>
        <v>14758</v>
      </c>
      <c r="M15" s="9">
        <f t="shared" si="1"/>
        <v>33857</v>
      </c>
      <c r="N15" s="9">
        <f t="shared" si="1"/>
        <v>9438</v>
      </c>
      <c r="O15" s="9">
        <f t="shared" si="1"/>
        <v>265430</v>
      </c>
      <c r="P15" s="9">
        <f t="shared" si="1"/>
        <v>33538</v>
      </c>
      <c r="Q15" s="9">
        <f t="shared" si="1"/>
        <v>30340</v>
      </c>
      <c r="R15" s="9">
        <f t="shared" si="1"/>
        <v>13958</v>
      </c>
      <c r="S15" s="9">
        <f t="shared" si="1"/>
        <v>6075</v>
      </c>
      <c r="T15" s="9">
        <f t="shared" si="1"/>
        <v>556399</v>
      </c>
    </row>
    <row r="16" spans="1:20" ht="19.5" customHeight="1">
      <c r="A16" s="15" t="s">
        <v>74</v>
      </c>
      <c r="B16" s="14">
        <f>SUM(B4:B15)</f>
        <v>18397</v>
      </c>
      <c r="C16" s="14">
        <f t="shared" si="1"/>
        <v>6608</v>
      </c>
      <c r="D16" s="14">
        <f t="shared" si="1"/>
        <v>8907</v>
      </c>
      <c r="E16" s="14">
        <f t="shared" si="1"/>
        <v>24086</v>
      </c>
      <c r="F16" s="14">
        <f t="shared" si="1"/>
        <v>24614</v>
      </c>
      <c r="G16" s="14">
        <f t="shared" si="1"/>
        <v>29025</v>
      </c>
      <c r="H16" s="14">
        <f t="shared" si="1"/>
        <v>45961</v>
      </c>
      <c r="I16" s="14">
        <f t="shared" si="1"/>
        <v>44787</v>
      </c>
      <c r="J16" s="14">
        <f t="shared" si="1"/>
        <v>51460</v>
      </c>
      <c r="K16" s="14">
        <f t="shared" si="1"/>
        <v>23900</v>
      </c>
      <c r="L16" s="14">
        <f t="shared" si="1"/>
        <v>27735</v>
      </c>
      <c r="M16" s="14">
        <f t="shared" si="1"/>
        <v>62718</v>
      </c>
      <c r="N16" s="14">
        <f t="shared" si="1"/>
        <v>17392</v>
      </c>
      <c r="O16" s="14">
        <f t="shared" si="1"/>
        <v>510144</v>
      </c>
      <c r="P16" s="14">
        <f t="shared" si="1"/>
        <v>63488</v>
      </c>
      <c r="Q16" s="14">
        <f t="shared" si="1"/>
        <v>56011</v>
      </c>
      <c r="R16" s="14">
        <f t="shared" si="1"/>
        <v>26291</v>
      </c>
      <c r="S16" s="14">
        <f t="shared" si="1"/>
        <v>11406</v>
      </c>
      <c r="T16" s="14">
        <f t="shared" si="1"/>
        <v>1052930</v>
      </c>
    </row>
    <row r="17" spans="1:20" s="26" customFormat="1" ht="19.5" customHeight="1">
      <c r="A17" s="23" t="s">
        <v>71</v>
      </c>
      <c r="B17" s="24">
        <f aca="true" t="shared" si="2" ref="B17:T17">B16/12</f>
        <v>1533.0833333333333</v>
      </c>
      <c r="C17" s="24">
        <f t="shared" si="2"/>
        <v>550.6666666666666</v>
      </c>
      <c r="D17" s="24">
        <f t="shared" si="2"/>
        <v>742.25</v>
      </c>
      <c r="E17" s="24">
        <f t="shared" si="2"/>
        <v>2007.1666666666667</v>
      </c>
      <c r="F17" s="24">
        <f t="shared" si="2"/>
        <v>2051.1666666666665</v>
      </c>
      <c r="G17" s="24">
        <f t="shared" si="2"/>
        <v>2418.75</v>
      </c>
      <c r="H17" s="24">
        <f t="shared" si="2"/>
        <v>3830.0833333333335</v>
      </c>
      <c r="I17" s="24">
        <f t="shared" si="2"/>
        <v>3732.25</v>
      </c>
      <c r="J17" s="24">
        <f t="shared" si="2"/>
        <v>4288.333333333333</v>
      </c>
      <c r="K17" s="24">
        <f t="shared" si="2"/>
        <v>1991.6666666666667</v>
      </c>
      <c r="L17" s="24">
        <f t="shared" si="2"/>
        <v>2311.25</v>
      </c>
      <c r="M17" s="24">
        <f t="shared" si="2"/>
        <v>5226.5</v>
      </c>
      <c r="N17" s="24">
        <f t="shared" si="2"/>
        <v>1449.3333333333333</v>
      </c>
      <c r="O17" s="24">
        <f t="shared" si="2"/>
        <v>42512</v>
      </c>
      <c r="P17" s="24">
        <f t="shared" si="2"/>
        <v>5290.666666666667</v>
      </c>
      <c r="Q17" s="24">
        <f t="shared" si="2"/>
        <v>4667.583333333333</v>
      </c>
      <c r="R17" s="24">
        <f t="shared" si="2"/>
        <v>2190.9166666666665</v>
      </c>
      <c r="S17" s="24">
        <f t="shared" si="2"/>
        <v>950.5</v>
      </c>
      <c r="T17" s="24">
        <f t="shared" si="2"/>
        <v>87744.16666666667</v>
      </c>
    </row>
    <row r="18" spans="1:20" s="26" customFormat="1" ht="19.5" customHeight="1">
      <c r="A18" s="27" t="s">
        <v>135</v>
      </c>
      <c r="B18" s="24">
        <f>B17/93</f>
        <v>16.484767025089607</v>
      </c>
      <c r="C18" s="25">
        <f>C17/129</f>
        <v>4.268733850129198</v>
      </c>
      <c r="D18" s="25">
        <f>D17/42</f>
        <v>17.672619047619047</v>
      </c>
      <c r="E18" s="25">
        <f>E17/194</f>
        <v>10.346219931271477</v>
      </c>
      <c r="F18" s="25">
        <f>F17/296</f>
        <v>6.929617117117116</v>
      </c>
      <c r="G18" s="25">
        <f>G17/359</f>
        <v>6.737465181058496</v>
      </c>
      <c r="H18" s="25">
        <f>H17/368</f>
        <v>10.407835144927537</v>
      </c>
      <c r="I18" s="25">
        <f>I17/312</f>
        <v>11.962339743589743</v>
      </c>
      <c r="J18" s="25">
        <f>J17/(99+120+122)</f>
        <v>12.575757575757574</v>
      </c>
      <c r="K18" s="25">
        <f>K17/295</f>
        <v>6.751412429378531</v>
      </c>
      <c r="L18" s="25">
        <f>L17/282</f>
        <v>8.195921985815604</v>
      </c>
      <c r="M18" s="25">
        <f>M17/(363+80)</f>
        <v>11.797968397291196</v>
      </c>
      <c r="N18" s="25">
        <f>N17/127</f>
        <v>11.412073490813647</v>
      </c>
      <c r="O18" s="25">
        <f>O17/750</f>
        <v>56.68266666666667</v>
      </c>
      <c r="P18" s="25">
        <f>P17/328</f>
        <v>16.13008130081301</v>
      </c>
      <c r="Q18" s="25">
        <f>Q17/320</f>
        <v>14.586197916666666</v>
      </c>
      <c r="R18" s="25">
        <f>R17/192</f>
        <v>11.411024305555555</v>
      </c>
      <c r="S18" s="25">
        <f>S17/160</f>
        <v>5.940625</v>
      </c>
      <c r="T18" s="25">
        <f>T17/5031</f>
        <v>17.440700987212615</v>
      </c>
    </row>
    <row r="19" spans="1:20" s="26" customFormat="1" ht="19.5" customHeight="1">
      <c r="A19" s="23" t="s">
        <v>76</v>
      </c>
      <c r="B19" s="24">
        <f aca="true" t="shared" si="3" ref="B19:T19">B18*12/2.5</f>
        <v>79.1268817204301</v>
      </c>
      <c r="C19" s="24">
        <f t="shared" si="3"/>
        <v>20.48992248062015</v>
      </c>
      <c r="D19" s="24">
        <f t="shared" si="3"/>
        <v>84.82857142857142</v>
      </c>
      <c r="E19" s="24">
        <f t="shared" si="3"/>
        <v>49.661855670103094</v>
      </c>
      <c r="F19" s="24">
        <f t="shared" si="3"/>
        <v>33.262162162162156</v>
      </c>
      <c r="G19" s="24">
        <f t="shared" si="3"/>
        <v>32.33983286908078</v>
      </c>
      <c r="H19" s="24">
        <f t="shared" si="3"/>
        <v>49.957608695652176</v>
      </c>
      <c r="I19" s="24">
        <f t="shared" si="3"/>
        <v>57.419230769230765</v>
      </c>
      <c r="J19" s="24">
        <f t="shared" si="3"/>
        <v>60.36363636363635</v>
      </c>
      <c r="K19" s="24">
        <f t="shared" si="3"/>
        <v>32.40677966101695</v>
      </c>
      <c r="L19" s="24">
        <f t="shared" si="3"/>
        <v>39.3404255319149</v>
      </c>
      <c r="M19" s="24">
        <f t="shared" si="3"/>
        <v>56.630248306997736</v>
      </c>
      <c r="N19" s="24">
        <f t="shared" si="3"/>
        <v>54.7779527559055</v>
      </c>
      <c r="O19" s="24">
        <f t="shared" si="3"/>
        <v>272.0768</v>
      </c>
      <c r="P19" s="24">
        <f t="shared" si="3"/>
        <v>77.42439024390245</v>
      </c>
      <c r="Q19" s="24">
        <f t="shared" si="3"/>
        <v>70.01375</v>
      </c>
      <c r="R19" s="24">
        <f t="shared" si="3"/>
        <v>54.77291666666666</v>
      </c>
      <c r="S19" s="24">
        <f t="shared" si="3"/>
        <v>28.514999999999997</v>
      </c>
      <c r="T19" s="24">
        <f t="shared" si="3"/>
        <v>83.71536473862055</v>
      </c>
    </row>
    <row r="22" spans="1:20" ht="19.5" customHeight="1">
      <c r="A22" s="9" t="s">
        <v>18</v>
      </c>
      <c r="B22" s="9" t="s">
        <v>0</v>
      </c>
      <c r="C22" s="9" t="s">
        <v>1</v>
      </c>
      <c r="D22" s="9" t="s">
        <v>2</v>
      </c>
      <c r="E22" s="9" t="s">
        <v>3</v>
      </c>
      <c r="F22" s="9" t="s">
        <v>4</v>
      </c>
      <c r="G22" s="9" t="s">
        <v>5</v>
      </c>
      <c r="H22" s="9" t="s">
        <v>6</v>
      </c>
      <c r="I22" s="9" t="s">
        <v>7</v>
      </c>
      <c r="J22" s="9" t="s">
        <v>8</v>
      </c>
      <c r="K22" s="9" t="s">
        <v>9</v>
      </c>
      <c r="L22" s="9" t="s">
        <v>10</v>
      </c>
      <c r="M22" s="9" t="s">
        <v>11</v>
      </c>
      <c r="N22" s="9" t="s">
        <v>12</v>
      </c>
      <c r="O22" s="9" t="s">
        <v>13</v>
      </c>
      <c r="P22" s="9" t="s">
        <v>14</v>
      </c>
      <c r="Q22" s="9" t="s">
        <v>15</v>
      </c>
      <c r="R22" s="9" t="s">
        <v>16</v>
      </c>
      <c r="S22" s="9" t="s">
        <v>17</v>
      </c>
      <c r="T22" s="10" t="s">
        <v>134</v>
      </c>
    </row>
    <row r="23" spans="1:20" ht="19.5" customHeight="1">
      <c r="A23" s="13" t="s">
        <v>59</v>
      </c>
      <c r="B23" s="11">
        <v>534</v>
      </c>
      <c r="C23" s="11">
        <v>765</v>
      </c>
      <c r="D23" s="11">
        <v>1108</v>
      </c>
      <c r="E23" s="11">
        <v>1273</v>
      </c>
      <c r="F23" s="11">
        <v>1247</v>
      </c>
      <c r="G23" s="11">
        <v>1442</v>
      </c>
      <c r="H23" s="11">
        <v>2505</v>
      </c>
      <c r="I23" s="11">
        <v>2270</v>
      </c>
      <c r="J23" s="11">
        <v>3008</v>
      </c>
      <c r="K23" s="11">
        <v>1086</v>
      </c>
      <c r="L23" s="11">
        <v>1585</v>
      </c>
      <c r="M23" s="11">
        <f>506+1397+1143</f>
        <v>3046</v>
      </c>
      <c r="N23" s="11">
        <v>944</v>
      </c>
      <c r="O23" s="9">
        <f>9369+9622</f>
        <v>18991</v>
      </c>
      <c r="P23" s="9">
        <f>1323+1440</f>
        <v>2763</v>
      </c>
      <c r="Q23" s="11">
        <v>3092</v>
      </c>
      <c r="R23" s="11">
        <v>1283</v>
      </c>
      <c r="S23" s="11">
        <v>478</v>
      </c>
      <c r="T23" s="9">
        <f>SUM(B23:S23)</f>
        <v>47420</v>
      </c>
    </row>
    <row r="24" spans="1:20" ht="19.5" customHeight="1">
      <c r="A24" s="13" t="s">
        <v>60</v>
      </c>
      <c r="B24" s="9">
        <v>382</v>
      </c>
      <c r="C24" s="9">
        <v>598</v>
      </c>
      <c r="D24" s="9">
        <v>81</v>
      </c>
      <c r="E24" s="9">
        <v>910</v>
      </c>
      <c r="F24" s="9">
        <v>1010</v>
      </c>
      <c r="G24" s="9">
        <f>1006+21</f>
        <v>1027</v>
      </c>
      <c r="H24" s="9">
        <v>1913</v>
      </c>
      <c r="I24" s="9">
        <v>1696</v>
      </c>
      <c r="J24" s="9">
        <v>2771</v>
      </c>
      <c r="K24" s="9">
        <v>809</v>
      </c>
      <c r="L24" s="9">
        <v>1032</v>
      </c>
      <c r="M24" s="9">
        <f>425+1091+875</f>
        <v>2391</v>
      </c>
      <c r="N24" s="9">
        <v>715</v>
      </c>
      <c r="O24" s="9">
        <f>7816+8026</f>
        <v>15842</v>
      </c>
      <c r="P24" s="9">
        <f>1256+793</f>
        <v>2049</v>
      </c>
      <c r="Q24" s="9">
        <v>2403</v>
      </c>
      <c r="R24" s="9">
        <v>963</v>
      </c>
      <c r="S24" s="9">
        <v>408</v>
      </c>
      <c r="T24" s="9">
        <f>SUM(B24:S24)</f>
        <v>37000</v>
      </c>
    </row>
    <row r="25" spans="1:20" ht="19.5" customHeight="1">
      <c r="A25" s="13" t="s">
        <v>61</v>
      </c>
      <c r="B25" s="9">
        <v>753</v>
      </c>
      <c r="C25" s="9">
        <v>1232</v>
      </c>
      <c r="D25" s="9">
        <v>81</v>
      </c>
      <c r="E25" s="9">
        <v>2456</v>
      </c>
      <c r="F25" s="9">
        <v>2416</v>
      </c>
      <c r="G25" s="9">
        <v>2793</v>
      </c>
      <c r="H25" s="9">
        <v>3954</v>
      </c>
      <c r="I25" s="9">
        <v>4191</v>
      </c>
      <c r="J25" s="9">
        <v>4726</v>
      </c>
      <c r="K25" s="9">
        <v>2206</v>
      </c>
      <c r="L25" s="9">
        <v>2854</v>
      </c>
      <c r="M25" s="9">
        <f>739+2160+1745</f>
        <v>4644</v>
      </c>
      <c r="N25" s="9">
        <v>1493</v>
      </c>
      <c r="O25" s="9">
        <f>11559+11883</f>
        <v>23442</v>
      </c>
      <c r="P25" s="9">
        <f>2848+2421</f>
        <v>5269</v>
      </c>
      <c r="Q25" s="9">
        <v>4449</v>
      </c>
      <c r="R25" s="9">
        <v>2366</v>
      </c>
      <c r="S25" s="9">
        <v>449</v>
      </c>
      <c r="T25" s="9">
        <f>SUM(B25:S25)</f>
        <v>69774</v>
      </c>
    </row>
    <row r="26" spans="1:20" ht="19.5" customHeight="1">
      <c r="A26" s="13" t="s">
        <v>62</v>
      </c>
      <c r="B26" s="9">
        <v>327</v>
      </c>
      <c r="C26" s="9">
        <v>578</v>
      </c>
      <c r="D26" s="9">
        <v>885</v>
      </c>
      <c r="E26" s="9">
        <v>1247</v>
      </c>
      <c r="F26" s="9">
        <v>1168</v>
      </c>
      <c r="G26" s="9">
        <v>1353</v>
      </c>
      <c r="H26" s="9">
        <v>1826</v>
      </c>
      <c r="I26" s="9">
        <v>2004</v>
      </c>
      <c r="J26" s="9">
        <v>2096</v>
      </c>
      <c r="K26" s="9">
        <v>1062</v>
      </c>
      <c r="L26" s="9">
        <v>1339</v>
      </c>
      <c r="M26" s="9">
        <f>318+1068+1018</f>
        <v>2404</v>
      </c>
      <c r="N26" s="9">
        <v>726</v>
      </c>
      <c r="O26" s="9">
        <f>4226+4310</f>
        <v>8536</v>
      </c>
      <c r="P26" s="9">
        <f>1400+1282</f>
        <v>2682</v>
      </c>
      <c r="Q26" s="9">
        <v>2002</v>
      </c>
      <c r="R26" s="9">
        <v>1158</v>
      </c>
      <c r="S26" s="9">
        <v>664</v>
      </c>
      <c r="T26" s="9">
        <v>32057</v>
      </c>
    </row>
    <row r="27" spans="1:20" ht="19.5" customHeight="1">
      <c r="A27" s="13" t="s">
        <v>63</v>
      </c>
      <c r="B27" s="9">
        <v>340</v>
      </c>
      <c r="C27" s="9">
        <v>663</v>
      </c>
      <c r="D27" s="9">
        <v>262</v>
      </c>
      <c r="E27" s="9">
        <v>1316</v>
      </c>
      <c r="F27" s="9">
        <v>1254</v>
      </c>
      <c r="G27" s="9">
        <v>1396</v>
      </c>
      <c r="H27" s="9">
        <v>2033</v>
      </c>
      <c r="I27" s="9">
        <v>3119</v>
      </c>
      <c r="J27" s="9">
        <v>2295</v>
      </c>
      <c r="K27" s="9">
        <v>1164</v>
      </c>
      <c r="L27" s="9">
        <v>1406</v>
      </c>
      <c r="M27" s="9">
        <f>367+1685+1376</f>
        <v>3428</v>
      </c>
      <c r="N27" s="9">
        <v>784</v>
      </c>
      <c r="O27" s="9">
        <f>4238+4370</f>
        <v>8608</v>
      </c>
      <c r="P27" s="9">
        <f>1745+1366</f>
        <v>3111</v>
      </c>
      <c r="Q27" s="9">
        <v>2207</v>
      </c>
      <c r="R27" s="9">
        <v>1320</v>
      </c>
      <c r="S27" s="9">
        <v>0</v>
      </c>
      <c r="T27" s="9">
        <v>34706</v>
      </c>
    </row>
    <row r="28" spans="1:20" ht="19.5" customHeight="1">
      <c r="A28" s="13" t="s">
        <v>64</v>
      </c>
      <c r="B28" s="9">
        <v>290</v>
      </c>
      <c r="C28" s="9">
        <v>619</v>
      </c>
      <c r="D28" s="9">
        <v>244</v>
      </c>
      <c r="E28" s="9">
        <v>977</v>
      </c>
      <c r="F28" s="9">
        <v>1084</v>
      </c>
      <c r="G28" s="9">
        <v>1220</v>
      </c>
      <c r="H28" s="9">
        <v>1827</v>
      </c>
      <c r="I28" s="9">
        <v>1331</v>
      </c>
      <c r="J28" s="9">
        <v>2047</v>
      </c>
      <c r="K28" s="9">
        <v>1141</v>
      </c>
      <c r="L28" s="9">
        <v>1203</v>
      </c>
      <c r="M28" s="9">
        <f>386+1577+1669</f>
        <v>3632</v>
      </c>
      <c r="N28" s="9">
        <v>702</v>
      </c>
      <c r="O28" s="9">
        <f>3616+3798</f>
        <v>7414</v>
      </c>
      <c r="P28" s="9">
        <f>1609+1194</f>
        <v>2803</v>
      </c>
      <c r="Q28" s="9">
        <v>2008</v>
      </c>
      <c r="R28" s="9">
        <v>1139</v>
      </c>
      <c r="S28" s="9">
        <v>272</v>
      </c>
      <c r="T28" s="9">
        <v>29953</v>
      </c>
    </row>
    <row r="29" spans="1:20" ht="19.5" customHeight="1">
      <c r="A29" s="13" t="s">
        <v>65</v>
      </c>
      <c r="B29" s="9">
        <v>182</v>
      </c>
      <c r="C29" s="9">
        <v>442</v>
      </c>
      <c r="D29" s="9">
        <v>147</v>
      </c>
      <c r="E29" s="9">
        <v>267</v>
      </c>
      <c r="F29" s="9">
        <v>282</v>
      </c>
      <c r="G29" s="9">
        <v>178</v>
      </c>
      <c r="H29" s="9">
        <v>1002</v>
      </c>
      <c r="I29" s="9">
        <v>1407</v>
      </c>
      <c r="J29" s="9">
        <v>1160</v>
      </c>
      <c r="K29" s="9">
        <v>514</v>
      </c>
      <c r="L29" s="9">
        <v>434</v>
      </c>
      <c r="M29" s="9">
        <f>180+418+968</f>
        <v>1566</v>
      </c>
      <c r="N29" s="9">
        <v>103</v>
      </c>
      <c r="O29" s="9">
        <f>1000+1079</f>
        <v>2079</v>
      </c>
      <c r="P29" s="9">
        <f>1177+673</f>
        <v>1850</v>
      </c>
      <c r="Q29" s="9">
        <v>1249</v>
      </c>
      <c r="R29" s="9">
        <v>508</v>
      </c>
      <c r="S29" s="9">
        <v>95</v>
      </c>
      <c r="T29" s="9">
        <v>13465</v>
      </c>
    </row>
    <row r="30" spans="1:20" ht="19.5" customHeight="1">
      <c r="A30" s="13" t="s">
        <v>66</v>
      </c>
      <c r="B30" s="9">
        <v>182</v>
      </c>
      <c r="C30" s="9">
        <v>441</v>
      </c>
      <c r="D30" s="9">
        <v>146</v>
      </c>
      <c r="E30" s="9">
        <v>267</v>
      </c>
      <c r="F30" s="9">
        <v>281</v>
      </c>
      <c r="G30" s="9">
        <v>177</v>
      </c>
      <c r="H30" s="9">
        <v>1002</v>
      </c>
      <c r="I30" s="9">
        <v>1406</v>
      </c>
      <c r="J30" s="9">
        <v>1159</v>
      </c>
      <c r="K30" s="9">
        <v>514</v>
      </c>
      <c r="L30" s="9">
        <v>433</v>
      </c>
      <c r="M30" s="9">
        <f>180+417+968</f>
        <v>1565</v>
      </c>
      <c r="N30" s="9">
        <v>102</v>
      </c>
      <c r="O30" s="9">
        <f>1000+1078</f>
        <v>2078</v>
      </c>
      <c r="P30" s="9">
        <f>1177+673</f>
        <v>1850</v>
      </c>
      <c r="Q30" s="9">
        <v>1249</v>
      </c>
      <c r="R30" s="9">
        <v>507</v>
      </c>
      <c r="S30" s="9">
        <v>95</v>
      </c>
      <c r="T30" s="9">
        <v>13454</v>
      </c>
    </row>
    <row r="31" spans="1:20" ht="19.5" customHeight="1">
      <c r="A31" s="13" t="s">
        <v>67</v>
      </c>
      <c r="B31" s="9">
        <v>237</v>
      </c>
      <c r="C31" s="9">
        <v>491</v>
      </c>
      <c r="D31" s="9">
        <v>185</v>
      </c>
      <c r="E31" s="9">
        <v>809</v>
      </c>
      <c r="F31" s="9">
        <v>766</v>
      </c>
      <c r="G31" s="9">
        <v>797</v>
      </c>
      <c r="H31" s="9">
        <v>1361</v>
      </c>
      <c r="I31" s="9">
        <v>1854</v>
      </c>
      <c r="J31" s="9">
        <v>1531</v>
      </c>
      <c r="K31" s="9">
        <v>839</v>
      </c>
      <c r="L31" s="9">
        <v>785</v>
      </c>
      <c r="M31" s="9">
        <f>299+403+930</f>
        <v>1632</v>
      </c>
      <c r="N31" s="9">
        <v>387</v>
      </c>
      <c r="O31" s="9">
        <f>2517+2582</f>
        <v>5099</v>
      </c>
      <c r="P31" s="9">
        <f>1488+1104</f>
        <v>2592</v>
      </c>
      <c r="Q31" s="9">
        <v>1774</v>
      </c>
      <c r="R31" s="9">
        <v>900</v>
      </c>
      <c r="S31" s="9">
        <v>213</v>
      </c>
      <c r="T31" s="9">
        <f>SUM(B31:S31)</f>
        <v>22252</v>
      </c>
    </row>
    <row r="32" spans="1:20" ht="19.5" customHeight="1">
      <c r="A32" s="13" t="s">
        <v>80</v>
      </c>
      <c r="B32" s="9">
        <v>321</v>
      </c>
      <c r="C32" s="9">
        <v>595</v>
      </c>
      <c r="D32" s="9">
        <v>254</v>
      </c>
      <c r="E32" s="9">
        <v>1089</v>
      </c>
      <c r="F32" s="9">
        <v>1092</v>
      </c>
      <c r="G32" s="9">
        <v>1189</v>
      </c>
      <c r="H32" s="9">
        <v>1862</v>
      </c>
      <c r="I32" s="9">
        <v>2224</v>
      </c>
      <c r="J32" s="9">
        <v>2175</v>
      </c>
      <c r="K32" s="9">
        <v>1080</v>
      </c>
      <c r="L32" s="9">
        <v>1132</v>
      </c>
      <c r="M32" s="9">
        <f>476+481+1094</f>
        <v>2051</v>
      </c>
      <c r="N32" s="9">
        <v>596</v>
      </c>
      <c r="O32" s="9">
        <f>3513+3599</f>
        <v>7112</v>
      </c>
      <c r="P32" s="9">
        <f>1804+1357</f>
        <v>3161</v>
      </c>
      <c r="Q32" s="9">
        <v>2305</v>
      </c>
      <c r="R32" s="9">
        <v>1279</v>
      </c>
      <c r="S32" s="9">
        <v>323</v>
      </c>
      <c r="T32" s="9">
        <f>SUM(B32:S32)</f>
        <v>29840</v>
      </c>
    </row>
    <row r="33" spans="1:20" ht="19.5" customHeight="1">
      <c r="A33" s="13" t="s">
        <v>81</v>
      </c>
      <c r="B33" s="9">
        <v>458</v>
      </c>
      <c r="C33" s="9">
        <v>791</v>
      </c>
      <c r="D33" s="9">
        <v>310</v>
      </c>
      <c r="E33" s="9">
        <v>1502</v>
      </c>
      <c r="F33" s="9">
        <v>1691</v>
      </c>
      <c r="G33" s="9">
        <v>1740</v>
      </c>
      <c r="H33" s="9">
        <v>2550</v>
      </c>
      <c r="I33" s="9">
        <v>2892</v>
      </c>
      <c r="J33" s="9">
        <v>2949</v>
      </c>
      <c r="K33" s="9">
        <v>1572</v>
      </c>
      <c r="L33" s="9">
        <v>1678</v>
      </c>
      <c r="M33" s="9">
        <f>682+691+1378</f>
        <v>2751</v>
      </c>
      <c r="N33" s="9">
        <v>818</v>
      </c>
      <c r="O33" s="9">
        <f>4938+5123</f>
        <v>10061</v>
      </c>
      <c r="P33" s="9">
        <f>2221+1962</f>
        <v>4183</v>
      </c>
      <c r="Q33" s="9">
        <v>3054</v>
      </c>
      <c r="R33" s="9">
        <v>1650</v>
      </c>
      <c r="S33" s="9">
        <v>457</v>
      </c>
      <c r="T33" s="9">
        <f>SUM(B33:S33)</f>
        <v>41107</v>
      </c>
    </row>
    <row r="34" spans="1:20" ht="19.5" customHeight="1">
      <c r="A34" s="13" t="s">
        <v>82</v>
      </c>
      <c r="B34" s="9">
        <v>622</v>
      </c>
      <c r="C34" s="9">
        <v>967</v>
      </c>
      <c r="D34" s="9">
        <v>359</v>
      </c>
      <c r="E34" s="9">
        <v>1829</v>
      </c>
      <c r="F34" s="9">
        <v>2249</v>
      </c>
      <c r="G34" s="9">
        <v>2275</v>
      </c>
      <c r="H34" s="9">
        <v>3162</v>
      </c>
      <c r="I34" s="9">
        <v>3555</v>
      </c>
      <c r="J34" s="9">
        <v>3643</v>
      </c>
      <c r="K34" s="9">
        <v>1794</v>
      </c>
      <c r="L34" s="9">
        <v>2250</v>
      </c>
      <c r="M34" s="9">
        <f>927+1163+1510</f>
        <v>3600</v>
      </c>
      <c r="N34" s="9">
        <v>1044</v>
      </c>
      <c r="O34" s="9">
        <f>6615+6862</f>
        <v>13477</v>
      </c>
      <c r="P34" s="9">
        <f>2245+2793</f>
        <v>5038</v>
      </c>
      <c r="Q34" s="9">
        <v>3988</v>
      </c>
      <c r="R34" s="9">
        <v>2142</v>
      </c>
      <c r="S34" s="9">
        <v>669</v>
      </c>
      <c r="T34" s="9">
        <f>SUM(B34:S34)</f>
        <v>52663</v>
      </c>
    </row>
    <row r="35" spans="1:20" ht="19.5" customHeight="1">
      <c r="A35" s="15" t="s">
        <v>74</v>
      </c>
      <c r="B35" s="14">
        <f aca="true" t="shared" si="4" ref="B35:T35">SUM(B23:B34)</f>
        <v>4628</v>
      </c>
      <c r="C35" s="14">
        <f t="shared" si="4"/>
        <v>8182</v>
      </c>
      <c r="D35" s="14">
        <f t="shared" si="4"/>
        <v>4062</v>
      </c>
      <c r="E35" s="14">
        <f t="shared" si="4"/>
        <v>13942</v>
      </c>
      <c r="F35" s="14">
        <f t="shared" si="4"/>
        <v>14540</v>
      </c>
      <c r="G35" s="14">
        <f t="shared" si="4"/>
        <v>15587</v>
      </c>
      <c r="H35" s="14">
        <f t="shared" si="4"/>
        <v>24997</v>
      </c>
      <c r="I35" s="14">
        <f t="shared" si="4"/>
        <v>27949</v>
      </c>
      <c r="J35" s="14">
        <f t="shared" si="4"/>
        <v>29560</v>
      </c>
      <c r="K35" s="14">
        <f t="shared" si="4"/>
        <v>13781</v>
      </c>
      <c r="L35" s="14">
        <f t="shared" si="4"/>
        <v>16131</v>
      </c>
      <c r="M35" s="14">
        <f t="shared" si="4"/>
        <v>32710</v>
      </c>
      <c r="N35" s="14">
        <f t="shared" si="4"/>
        <v>8414</v>
      </c>
      <c r="O35" s="14">
        <f t="shared" si="4"/>
        <v>122739</v>
      </c>
      <c r="P35" s="14">
        <f t="shared" si="4"/>
        <v>37351</v>
      </c>
      <c r="Q35" s="14">
        <f t="shared" si="4"/>
        <v>29780</v>
      </c>
      <c r="R35" s="14">
        <f t="shared" si="4"/>
        <v>15215</v>
      </c>
      <c r="S35" s="14">
        <f t="shared" si="4"/>
        <v>4123</v>
      </c>
      <c r="T35" s="14">
        <f t="shared" si="4"/>
        <v>423691</v>
      </c>
    </row>
    <row r="36" spans="1:20" s="26" customFormat="1" ht="19.5" customHeight="1">
      <c r="A36" s="23" t="s">
        <v>71</v>
      </c>
      <c r="B36" s="24">
        <f>B35/12</f>
        <v>385.6666666666667</v>
      </c>
      <c r="C36" s="24">
        <f aca="true" t="shared" si="5" ref="C36:T36">C35/12</f>
        <v>681.8333333333334</v>
      </c>
      <c r="D36" s="24">
        <f t="shared" si="5"/>
        <v>338.5</v>
      </c>
      <c r="E36" s="24">
        <f t="shared" si="5"/>
        <v>1161.8333333333333</v>
      </c>
      <c r="F36" s="24">
        <f t="shared" si="5"/>
        <v>1211.6666666666667</v>
      </c>
      <c r="G36" s="24">
        <f t="shared" si="5"/>
        <v>1298.9166666666667</v>
      </c>
      <c r="H36" s="24">
        <f t="shared" si="5"/>
        <v>2083.0833333333335</v>
      </c>
      <c r="I36" s="24">
        <f t="shared" si="5"/>
        <v>2329.0833333333335</v>
      </c>
      <c r="J36" s="24">
        <f t="shared" si="5"/>
        <v>2463.3333333333335</v>
      </c>
      <c r="K36" s="24">
        <f t="shared" si="5"/>
        <v>1148.4166666666667</v>
      </c>
      <c r="L36" s="24">
        <f t="shared" si="5"/>
        <v>1344.25</v>
      </c>
      <c r="M36" s="24">
        <f t="shared" si="5"/>
        <v>2725.8333333333335</v>
      </c>
      <c r="N36" s="24">
        <f t="shared" si="5"/>
        <v>701.1666666666666</v>
      </c>
      <c r="O36" s="24">
        <f t="shared" si="5"/>
        <v>10228.25</v>
      </c>
      <c r="P36" s="24">
        <f t="shared" si="5"/>
        <v>3112.5833333333335</v>
      </c>
      <c r="Q36" s="24">
        <f t="shared" si="5"/>
        <v>2481.6666666666665</v>
      </c>
      <c r="R36" s="24">
        <f t="shared" si="5"/>
        <v>1267.9166666666667</v>
      </c>
      <c r="S36" s="24">
        <f t="shared" si="5"/>
        <v>343.5833333333333</v>
      </c>
      <c r="T36" s="24">
        <f t="shared" si="5"/>
        <v>35307.583333333336</v>
      </c>
    </row>
    <row r="37" spans="1:20" s="26" customFormat="1" ht="19.5" customHeight="1">
      <c r="A37" s="27" t="s">
        <v>135</v>
      </c>
      <c r="B37" s="24">
        <f>B36/93</f>
        <v>4.146953405017921</v>
      </c>
      <c r="C37" s="25">
        <f>C36/129</f>
        <v>5.285529715762274</v>
      </c>
      <c r="D37" s="25">
        <f>D36/42</f>
        <v>8.05952380952381</v>
      </c>
      <c r="E37" s="25">
        <f>E36/194</f>
        <v>5.988831615120275</v>
      </c>
      <c r="F37" s="25">
        <f>F36/296</f>
        <v>4.093468468468469</v>
      </c>
      <c r="G37" s="25">
        <f>G36/359</f>
        <v>3.6181522748375117</v>
      </c>
      <c r="H37" s="25">
        <f>H36/368</f>
        <v>5.660552536231885</v>
      </c>
      <c r="I37" s="25">
        <f>I36/312</f>
        <v>7.465010683760684</v>
      </c>
      <c r="J37" s="25">
        <f>J36/(99+120+122)</f>
        <v>7.223851417399805</v>
      </c>
      <c r="K37" s="25">
        <f>K36/295</f>
        <v>3.892937853107345</v>
      </c>
      <c r="L37" s="25">
        <f>L36/282</f>
        <v>4.766843971631205</v>
      </c>
      <c r="M37" s="25">
        <f>M36/(363+80)</f>
        <v>6.153122648607976</v>
      </c>
      <c r="N37" s="25">
        <f>N36/127</f>
        <v>5.520997375328084</v>
      </c>
      <c r="O37" s="25">
        <f>O36/750</f>
        <v>13.637666666666666</v>
      </c>
      <c r="P37" s="25">
        <f>P36/328</f>
        <v>9.489583333333334</v>
      </c>
      <c r="Q37" s="25">
        <f>Q36/320</f>
        <v>7.755208333333333</v>
      </c>
      <c r="R37" s="25">
        <f>R36/192</f>
        <v>6.603732638888889</v>
      </c>
      <c r="S37" s="25">
        <f>S36/160</f>
        <v>2.1473958333333334</v>
      </c>
      <c r="T37" s="25">
        <f>T36/5031</f>
        <v>7.018005035446897</v>
      </c>
    </row>
    <row r="38" spans="1:20" s="26" customFormat="1" ht="19.5" customHeight="1">
      <c r="A38" s="36" t="s">
        <v>76</v>
      </c>
      <c r="B38" s="35">
        <f aca="true" t="shared" si="6" ref="B38:T38">B37*12/2.5</f>
        <v>19.905376344086022</v>
      </c>
      <c r="C38" s="35">
        <f t="shared" si="6"/>
        <v>25.370542635658914</v>
      </c>
      <c r="D38" s="35">
        <f t="shared" si="6"/>
        <v>38.68571428571429</v>
      </c>
      <c r="E38" s="35">
        <f t="shared" si="6"/>
        <v>28.746391752577317</v>
      </c>
      <c r="F38" s="35">
        <f t="shared" si="6"/>
        <v>19.648648648648653</v>
      </c>
      <c r="G38" s="35">
        <f t="shared" si="6"/>
        <v>17.367130919220056</v>
      </c>
      <c r="H38" s="35">
        <f t="shared" si="6"/>
        <v>27.170652173913048</v>
      </c>
      <c r="I38" s="35">
        <f t="shared" si="6"/>
        <v>35.83205128205128</v>
      </c>
      <c r="J38" s="35">
        <f t="shared" si="6"/>
        <v>34.67448680351906</v>
      </c>
      <c r="K38" s="35">
        <f t="shared" si="6"/>
        <v>18.68610169491526</v>
      </c>
      <c r="L38" s="35">
        <f t="shared" si="6"/>
        <v>22.880851063829788</v>
      </c>
      <c r="M38" s="35">
        <f t="shared" si="6"/>
        <v>29.534988713318285</v>
      </c>
      <c r="N38" s="35">
        <f t="shared" si="6"/>
        <v>26.500787401574804</v>
      </c>
      <c r="O38" s="35">
        <f t="shared" si="6"/>
        <v>65.46079999999999</v>
      </c>
      <c r="P38" s="35">
        <f t="shared" si="6"/>
        <v>45.55</v>
      </c>
      <c r="Q38" s="35">
        <f t="shared" si="6"/>
        <v>37.225</v>
      </c>
      <c r="R38" s="35">
        <f t="shared" si="6"/>
        <v>31.697916666666668</v>
      </c>
      <c r="S38" s="35">
        <f t="shared" si="6"/>
        <v>10.307500000000001</v>
      </c>
      <c r="T38" s="35">
        <f t="shared" si="6"/>
        <v>33.6864241701451</v>
      </c>
    </row>
    <row r="39" s="31" customFormat="1" ht="19.5" customHeight="1">
      <c r="A39" s="59"/>
    </row>
    <row r="40" s="31" customFormat="1" ht="19.5" customHeight="1">
      <c r="A40" s="59"/>
    </row>
    <row r="41" s="31" customFormat="1" ht="19.5" customHeight="1">
      <c r="A41" s="59"/>
    </row>
    <row r="42" s="31" customFormat="1" ht="19.5" customHeight="1">
      <c r="A42" s="59"/>
    </row>
    <row r="43" s="31" customFormat="1" ht="19.5" customHeight="1">
      <c r="A43" s="59"/>
    </row>
    <row r="44" s="31" customFormat="1" ht="19.5" customHeight="1">
      <c r="A44" s="59"/>
    </row>
    <row r="45" spans="1:3" s="31" customFormat="1" ht="19.5" customHeight="1">
      <c r="A45" s="120" t="s">
        <v>77</v>
      </c>
      <c r="B45" s="120"/>
      <c r="C45" s="120"/>
    </row>
    <row r="46" spans="1:20" ht="19.5" customHeight="1">
      <c r="A46" s="9" t="s">
        <v>18</v>
      </c>
      <c r="B46" s="9" t="s">
        <v>0</v>
      </c>
      <c r="C46" s="9" t="s">
        <v>1</v>
      </c>
      <c r="D46" s="9" t="s">
        <v>2</v>
      </c>
      <c r="E46" s="9" t="s">
        <v>3</v>
      </c>
      <c r="F46" s="9" t="s">
        <v>4</v>
      </c>
      <c r="G46" s="9" t="s">
        <v>5</v>
      </c>
      <c r="H46" s="9" t="s">
        <v>6</v>
      </c>
      <c r="I46" s="9" t="s">
        <v>7</v>
      </c>
      <c r="J46" s="9" t="s">
        <v>8</v>
      </c>
      <c r="K46" s="9" t="s">
        <v>9</v>
      </c>
      <c r="L46" s="9" t="s">
        <v>10</v>
      </c>
      <c r="M46" s="9" t="s">
        <v>11</v>
      </c>
      <c r="N46" s="9" t="s">
        <v>12</v>
      </c>
      <c r="O46" s="9" t="s">
        <v>13</v>
      </c>
      <c r="P46" s="9" t="s">
        <v>14</v>
      </c>
      <c r="Q46" s="9" t="s">
        <v>15</v>
      </c>
      <c r="R46" s="9" t="s">
        <v>16</v>
      </c>
      <c r="S46" s="9" t="s">
        <v>17</v>
      </c>
      <c r="T46" s="10" t="s">
        <v>134</v>
      </c>
    </row>
    <row r="47" spans="1:20" s="26" customFormat="1" ht="19.5" customHeight="1">
      <c r="A47" s="13" t="s">
        <v>95</v>
      </c>
      <c r="B47" s="9">
        <v>565</v>
      </c>
      <c r="C47" s="9">
        <v>870</v>
      </c>
      <c r="D47" s="9">
        <v>349</v>
      </c>
      <c r="E47" s="9">
        <v>1265</v>
      </c>
      <c r="F47" s="9">
        <v>1514</v>
      </c>
      <c r="G47" s="9">
        <v>1488</v>
      </c>
      <c r="H47" s="9">
        <v>2642</v>
      </c>
      <c r="I47" s="9">
        <v>2562</v>
      </c>
      <c r="J47" s="9">
        <v>3388</v>
      </c>
      <c r="K47" s="9">
        <v>1177</v>
      </c>
      <c r="L47" s="9">
        <v>1598</v>
      </c>
      <c r="M47" s="9">
        <f>761+1054+1348</f>
        <v>3163</v>
      </c>
      <c r="N47" s="9">
        <v>900</v>
      </c>
      <c r="O47" s="9">
        <f>4323+4494</f>
        <v>8817</v>
      </c>
      <c r="P47" s="9">
        <f>1720+1698</f>
        <v>3418</v>
      </c>
      <c r="Q47" s="9">
        <v>3562</v>
      </c>
      <c r="R47" s="9">
        <v>1432</v>
      </c>
      <c r="S47" s="9">
        <v>383</v>
      </c>
      <c r="T47" s="9">
        <f aca="true" t="shared" si="7" ref="T47:T58">SUM(B47:S47)</f>
        <v>39093</v>
      </c>
    </row>
    <row r="48" spans="1:20" s="26" customFormat="1" ht="19.5" customHeight="1">
      <c r="A48" s="13" t="s">
        <v>96</v>
      </c>
      <c r="B48" s="9">
        <v>565</v>
      </c>
      <c r="C48" s="9">
        <v>870</v>
      </c>
      <c r="D48" s="9">
        <v>348</v>
      </c>
      <c r="E48" s="9">
        <v>1265</v>
      </c>
      <c r="F48" s="9">
        <v>1513</v>
      </c>
      <c r="G48" s="9">
        <v>1487</v>
      </c>
      <c r="H48" s="9">
        <v>2641</v>
      </c>
      <c r="I48" s="9">
        <v>2562</v>
      </c>
      <c r="J48" s="9">
        <v>3388</v>
      </c>
      <c r="K48" s="9">
        <f>1177</f>
        <v>1177</v>
      </c>
      <c r="L48" s="9">
        <v>1597</v>
      </c>
      <c r="M48" s="9">
        <f>760+1054+1347</f>
        <v>3161</v>
      </c>
      <c r="N48" s="9">
        <v>901</v>
      </c>
      <c r="O48" s="9">
        <f>4323+4495</f>
        <v>8818</v>
      </c>
      <c r="P48" s="9">
        <f>1720+1699</f>
        <v>3419</v>
      </c>
      <c r="Q48" s="9">
        <v>3562</v>
      </c>
      <c r="R48" s="9">
        <v>1432</v>
      </c>
      <c r="S48" s="9">
        <v>384</v>
      </c>
      <c r="T48" s="9">
        <f t="shared" si="7"/>
        <v>39090</v>
      </c>
    </row>
    <row r="49" spans="1:20" s="26" customFormat="1" ht="19.5" customHeight="1">
      <c r="A49" s="13" t="s">
        <v>97</v>
      </c>
      <c r="B49" s="9">
        <v>562</v>
      </c>
      <c r="C49" s="9">
        <v>881</v>
      </c>
      <c r="D49" s="9">
        <v>386</v>
      </c>
      <c r="E49" s="9">
        <v>1673</v>
      </c>
      <c r="F49" s="9">
        <v>2259</v>
      </c>
      <c r="G49" s="9">
        <v>2147</v>
      </c>
      <c r="H49" s="9">
        <v>3052</v>
      </c>
      <c r="I49" s="9">
        <v>3231</v>
      </c>
      <c r="J49" s="9">
        <v>3550</v>
      </c>
      <c r="K49" s="9">
        <v>1563</v>
      </c>
      <c r="L49" s="9">
        <v>2271</v>
      </c>
      <c r="M49" s="9">
        <f>762+1024+1686</f>
        <v>3472</v>
      </c>
      <c r="N49" s="9">
        <v>927</v>
      </c>
      <c r="O49" s="9">
        <f>5484+5671</f>
        <v>11155</v>
      </c>
      <c r="P49" s="9">
        <f>2239+2208</f>
        <v>4447</v>
      </c>
      <c r="Q49" s="9">
        <v>3964</v>
      </c>
      <c r="R49" s="9">
        <v>1961</v>
      </c>
      <c r="S49" s="9">
        <v>567</v>
      </c>
      <c r="T49" s="9">
        <f t="shared" si="7"/>
        <v>48068</v>
      </c>
    </row>
    <row r="50" spans="1:20" s="26" customFormat="1" ht="19.5" customHeight="1">
      <c r="A50" s="13" t="s">
        <v>98</v>
      </c>
      <c r="B50" s="9">
        <v>474</v>
      </c>
      <c r="C50" s="9">
        <v>800</v>
      </c>
      <c r="D50" s="9">
        <v>330</v>
      </c>
      <c r="E50" s="9">
        <v>1487</v>
      </c>
      <c r="F50" s="9">
        <v>1854</v>
      </c>
      <c r="G50" s="9">
        <v>1703</v>
      </c>
      <c r="H50" s="9">
        <v>2581</v>
      </c>
      <c r="I50" s="9">
        <v>2966</v>
      </c>
      <c r="J50" s="9">
        <v>2994</v>
      </c>
      <c r="K50" s="9">
        <f>1658</f>
        <v>1658</v>
      </c>
      <c r="L50" s="9">
        <v>1812</v>
      </c>
      <c r="M50" s="9">
        <f>577+1075+1580</f>
        <v>3232</v>
      </c>
      <c r="N50" s="9">
        <v>833</v>
      </c>
      <c r="O50" s="9">
        <f>5100+5245</f>
        <v>10345</v>
      </c>
      <c r="P50" s="9">
        <f>1947+2030</f>
        <v>3977</v>
      </c>
      <c r="Q50" s="9">
        <f>3341</f>
        <v>3341</v>
      </c>
      <c r="R50" s="9">
        <v>1602</v>
      </c>
      <c r="S50" s="9">
        <v>444</v>
      </c>
      <c r="T50" s="9">
        <f t="shared" si="7"/>
        <v>42433</v>
      </c>
    </row>
    <row r="51" spans="1:20" s="26" customFormat="1" ht="19.5" customHeight="1">
      <c r="A51" s="13" t="s">
        <v>99</v>
      </c>
      <c r="B51" s="9">
        <v>325</v>
      </c>
      <c r="C51" s="9">
        <v>644</v>
      </c>
      <c r="D51" s="9">
        <v>260</v>
      </c>
      <c r="E51" s="9">
        <v>1190</v>
      </c>
      <c r="F51" s="9">
        <v>1408</v>
      </c>
      <c r="G51" s="9">
        <v>1308</v>
      </c>
      <c r="H51" s="9">
        <v>1933</v>
      </c>
      <c r="I51" s="9">
        <v>2969</v>
      </c>
      <c r="J51" s="9">
        <v>2201</v>
      </c>
      <c r="K51" s="9">
        <v>1297</v>
      </c>
      <c r="L51" s="9">
        <v>1385</v>
      </c>
      <c r="M51" s="9">
        <f>281+1371+1424</f>
        <v>3076</v>
      </c>
      <c r="N51" s="9">
        <v>611</v>
      </c>
      <c r="O51" s="9">
        <f>3863+3984</f>
        <v>7847</v>
      </c>
      <c r="P51" s="9">
        <f>2066+1653</f>
        <v>3719</v>
      </c>
      <c r="Q51" s="9">
        <v>2524</v>
      </c>
      <c r="R51" s="9">
        <v>1262</v>
      </c>
      <c r="S51" s="9">
        <v>313</v>
      </c>
      <c r="T51" s="9">
        <f t="shared" si="7"/>
        <v>34272</v>
      </c>
    </row>
    <row r="52" spans="1:20" s="26" customFormat="1" ht="19.5" customHeight="1">
      <c r="A52" s="13" t="s">
        <v>100</v>
      </c>
      <c r="B52" s="9">
        <v>269</v>
      </c>
      <c r="C52" s="9">
        <v>554</v>
      </c>
      <c r="D52" s="9">
        <v>194</v>
      </c>
      <c r="E52" s="9">
        <v>1000</v>
      </c>
      <c r="F52" s="9">
        <v>1082</v>
      </c>
      <c r="G52" s="9">
        <v>1024</v>
      </c>
      <c r="H52" s="9">
        <v>1578</v>
      </c>
      <c r="I52" s="9">
        <v>2531</v>
      </c>
      <c r="J52" s="9">
        <v>1786</v>
      </c>
      <c r="K52" s="9">
        <f>1051</f>
        <v>1051</v>
      </c>
      <c r="L52" s="9">
        <v>1106</v>
      </c>
      <c r="M52" s="9">
        <f>381+1389+1336</f>
        <v>3106</v>
      </c>
      <c r="N52" s="9">
        <v>466</v>
      </c>
      <c r="O52" s="9">
        <f>3091+3240</f>
        <v>6331</v>
      </c>
      <c r="P52" s="9">
        <f>1884+1386</f>
        <v>3270</v>
      </c>
      <c r="Q52" s="9">
        <v>2143</v>
      </c>
      <c r="R52" s="9">
        <v>1001</v>
      </c>
      <c r="S52" s="9">
        <v>240</v>
      </c>
      <c r="T52" s="9">
        <f t="shared" si="7"/>
        <v>28732</v>
      </c>
    </row>
    <row r="53" spans="1:20" s="26" customFormat="1" ht="19.5" customHeight="1">
      <c r="A53" s="13" t="s">
        <v>101</v>
      </c>
      <c r="B53" s="9">
        <v>242</v>
      </c>
      <c r="C53" s="9">
        <v>488</v>
      </c>
      <c r="D53" s="9">
        <v>149</v>
      </c>
      <c r="E53" s="9">
        <v>600</v>
      </c>
      <c r="F53" s="9">
        <v>417</v>
      </c>
      <c r="G53" s="9">
        <v>328</v>
      </c>
      <c r="H53" s="9">
        <v>1162</v>
      </c>
      <c r="I53" s="9">
        <v>1896</v>
      </c>
      <c r="J53" s="9">
        <v>1361</v>
      </c>
      <c r="K53" s="9">
        <v>651</v>
      </c>
      <c r="L53" s="9">
        <v>328</v>
      </c>
      <c r="M53" s="9">
        <f>662+1694+1730</f>
        <v>4086</v>
      </c>
      <c r="N53" s="9">
        <v>391</v>
      </c>
      <c r="O53" s="9">
        <f>1617+1644</f>
        <v>3261</v>
      </c>
      <c r="P53" s="9">
        <f>1528+405</f>
        <v>1933</v>
      </c>
      <c r="Q53" s="9">
        <v>1521</v>
      </c>
      <c r="R53" s="9">
        <v>743</v>
      </c>
      <c r="S53" s="9">
        <f>142</f>
        <v>142</v>
      </c>
      <c r="T53" s="9">
        <f t="shared" si="7"/>
        <v>19699</v>
      </c>
    </row>
    <row r="54" spans="1:20" s="26" customFormat="1" ht="19.5" customHeight="1">
      <c r="A54" s="13" t="s">
        <v>102</v>
      </c>
      <c r="B54" s="9">
        <v>266</v>
      </c>
      <c r="C54" s="9">
        <v>543</v>
      </c>
      <c r="D54" s="9">
        <v>141</v>
      </c>
      <c r="E54" s="9">
        <v>636</v>
      </c>
      <c r="F54" s="9">
        <v>314</v>
      </c>
      <c r="G54" s="9">
        <v>165</v>
      </c>
      <c r="H54" s="9">
        <v>1329</v>
      </c>
      <c r="I54" s="9">
        <v>2088</v>
      </c>
      <c r="J54" s="9">
        <v>1549</v>
      </c>
      <c r="K54" s="9">
        <v>466</v>
      </c>
      <c r="L54" s="9">
        <v>234</v>
      </c>
      <c r="M54" s="9">
        <f>1027+3008+2914</f>
        <v>6949</v>
      </c>
      <c r="N54" s="9">
        <v>381</v>
      </c>
      <c r="O54" s="9">
        <f>1622+1620</f>
        <v>3242</v>
      </c>
      <c r="P54" s="9">
        <f>1652+787</f>
        <v>2439</v>
      </c>
      <c r="Q54" s="9">
        <v>1714</v>
      </c>
      <c r="R54" s="9">
        <f>772</f>
        <v>772</v>
      </c>
      <c r="S54" s="9">
        <v>141</v>
      </c>
      <c r="T54" s="9">
        <f t="shared" si="7"/>
        <v>23369</v>
      </c>
    </row>
    <row r="55" spans="1:20" s="26" customFormat="1" ht="19.5" customHeight="1">
      <c r="A55" s="13" t="s">
        <v>103</v>
      </c>
      <c r="B55" s="9">
        <v>322</v>
      </c>
      <c r="C55" s="9">
        <f>579</f>
        <v>579</v>
      </c>
      <c r="D55" s="9">
        <v>205</v>
      </c>
      <c r="E55" s="9">
        <v>924</v>
      </c>
      <c r="F55" s="9">
        <v>827</v>
      </c>
      <c r="G55" s="9">
        <v>919</v>
      </c>
      <c r="H55" s="9">
        <v>1784</v>
      </c>
      <c r="I55" s="9">
        <v>2412</v>
      </c>
      <c r="J55" s="9">
        <v>1813</v>
      </c>
      <c r="K55" s="9">
        <v>713</v>
      </c>
      <c r="L55" s="9">
        <v>923</v>
      </c>
      <c r="M55" s="9">
        <f>1185+2937+3115</f>
        <v>7237</v>
      </c>
      <c r="N55" s="9">
        <v>441</v>
      </c>
      <c r="O55" s="9">
        <f>2715+2806</f>
        <v>5521</v>
      </c>
      <c r="P55" s="9">
        <f>1873+1260</f>
        <v>3133</v>
      </c>
      <c r="Q55" s="9">
        <v>2168</v>
      </c>
      <c r="R55" s="9">
        <v>900</v>
      </c>
      <c r="S55" s="9">
        <v>226</v>
      </c>
      <c r="T55" s="9">
        <f t="shared" si="7"/>
        <v>31047</v>
      </c>
    </row>
    <row r="56" spans="1:20" s="26" customFormat="1" ht="19.5" customHeight="1">
      <c r="A56" s="13" t="s">
        <v>104</v>
      </c>
      <c r="B56" s="9">
        <v>485</v>
      </c>
      <c r="C56" s="9">
        <v>779</v>
      </c>
      <c r="D56" s="9">
        <v>229</v>
      </c>
      <c r="E56" s="9">
        <v>1470</v>
      </c>
      <c r="F56" s="9">
        <v>1654</v>
      </c>
      <c r="G56" s="9">
        <v>1741</v>
      </c>
      <c r="H56" s="9">
        <v>2447</v>
      </c>
      <c r="I56" s="9">
        <v>3506</v>
      </c>
      <c r="J56" s="9">
        <v>2980</v>
      </c>
      <c r="K56" s="9">
        <v>1456</v>
      </c>
      <c r="L56" s="9">
        <v>1757</v>
      </c>
      <c r="M56" s="9">
        <f>1037+1193+2269</f>
        <v>4499</v>
      </c>
      <c r="N56" s="9">
        <v>719</v>
      </c>
      <c r="O56" s="9">
        <f>4602+4813</f>
        <v>9415</v>
      </c>
      <c r="P56" s="9">
        <f>2147+2476</f>
        <v>4623</v>
      </c>
      <c r="Q56" s="9">
        <v>3343</v>
      </c>
      <c r="R56" s="9">
        <v>1631</v>
      </c>
      <c r="S56" s="9">
        <v>402</v>
      </c>
      <c r="T56" s="9">
        <f t="shared" si="7"/>
        <v>43136</v>
      </c>
    </row>
    <row r="57" spans="1:20" s="26" customFormat="1" ht="19.5" customHeight="1">
      <c r="A57" s="13" t="s">
        <v>105</v>
      </c>
      <c r="B57" s="9">
        <v>419</v>
      </c>
      <c r="C57" s="9">
        <v>779</v>
      </c>
      <c r="D57" s="9">
        <v>267</v>
      </c>
      <c r="E57" s="9">
        <v>1433</v>
      </c>
      <c r="F57" s="9">
        <v>1682</v>
      </c>
      <c r="G57" s="9">
        <f>1737+5355</f>
        <v>7092</v>
      </c>
      <c r="H57" s="9">
        <v>2374</v>
      </c>
      <c r="I57" s="9">
        <v>3412</v>
      </c>
      <c r="J57" s="9">
        <v>2739</v>
      </c>
      <c r="K57" s="9">
        <v>1433</v>
      </c>
      <c r="L57" s="9">
        <v>1774</v>
      </c>
      <c r="M57" s="9">
        <f>701+558+1853</f>
        <v>3112</v>
      </c>
      <c r="N57" s="9">
        <v>701</v>
      </c>
      <c r="O57" s="9">
        <f>4589+4827</f>
        <v>9416</v>
      </c>
      <c r="P57" s="9">
        <f>1896+2515</f>
        <v>4411</v>
      </c>
      <c r="Q57" s="9">
        <v>3157</v>
      </c>
      <c r="R57" s="9">
        <v>1623</v>
      </c>
      <c r="S57" s="9">
        <v>453</v>
      </c>
      <c r="T57" s="9">
        <f t="shared" si="7"/>
        <v>46277</v>
      </c>
    </row>
    <row r="58" spans="1:20" s="26" customFormat="1" ht="19.5" customHeight="1">
      <c r="A58" s="13" t="s">
        <v>106</v>
      </c>
      <c r="B58" s="9">
        <v>421</v>
      </c>
      <c r="C58" s="9">
        <v>1023</v>
      </c>
      <c r="D58" s="9">
        <v>312</v>
      </c>
      <c r="E58" s="9">
        <v>1726</v>
      </c>
      <c r="F58" s="9">
        <v>2185</v>
      </c>
      <c r="G58" s="9">
        <f>2126+567</f>
        <v>2693</v>
      </c>
      <c r="H58" s="9">
        <v>2786</v>
      </c>
      <c r="I58" s="9">
        <v>3818</v>
      </c>
      <c r="J58" s="9">
        <v>3403</v>
      </c>
      <c r="K58" s="9">
        <v>1744</v>
      </c>
      <c r="L58" s="9">
        <v>2252</v>
      </c>
      <c r="M58" s="9">
        <f>882+990+1957</f>
        <v>3829</v>
      </c>
      <c r="N58" s="9">
        <v>832</v>
      </c>
      <c r="O58" s="9">
        <f>5473+5747</f>
        <v>11220</v>
      </c>
      <c r="P58" s="9">
        <f>1997+3105</f>
        <v>5102</v>
      </c>
      <c r="Q58" s="9">
        <v>3871</v>
      </c>
      <c r="R58" s="9">
        <v>1888</v>
      </c>
      <c r="S58" s="9">
        <v>810</v>
      </c>
      <c r="T58" s="9">
        <f t="shared" si="7"/>
        <v>49915</v>
      </c>
    </row>
    <row r="59" spans="1:20" ht="19.5" customHeight="1">
      <c r="A59" s="15" t="s">
        <v>74</v>
      </c>
      <c r="B59" s="14">
        <f aca="true" t="shared" si="8" ref="B59:T59">SUM(B47:B58)</f>
        <v>4915</v>
      </c>
      <c r="C59" s="14">
        <f t="shared" si="8"/>
        <v>8810</v>
      </c>
      <c r="D59" s="14">
        <f t="shared" si="8"/>
        <v>3170</v>
      </c>
      <c r="E59" s="14">
        <f t="shared" si="8"/>
        <v>14669</v>
      </c>
      <c r="F59" s="14">
        <f t="shared" si="8"/>
        <v>16709</v>
      </c>
      <c r="G59" s="14">
        <f t="shared" si="8"/>
        <v>22095</v>
      </c>
      <c r="H59" s="14">
        <f t="shared" si="8"/>
        <v>26309</v>
      </c>
      <c r="I59" s="14">
        <f t="shared" si="8"/>
        <v>33953</v>
      </c>
      <c r="J59" s="14">
        <f t="shared" si="8"/>
        <v>31152</v>
      </c>
      <c r="K59" s="14">
        <f t="shared" si="8"/>
        <v>14386</v>
      </c>
      <c r="L59" s="14">
        <f t="shared" si="8"/>
        <v>17037</v>
      </c>
      <c r="M59" s="14">
        <f t="shared" si="8"/>
        <v>48922</v>
      </c>
      <c r="N59" s="14">
        <f t="shared" si="8"/>
        <v>8103</v>
      </c>
      <c r="O59" s="14">
        <f t="shared" si="8"/>
        <v>95388</v>
      </c>
      <c r="P59" s="14">
        <f t="shared" si="8"/>
        <v>43891</v>
      </c>
      <c r="Q59" s="14">
        <f t="shared" si="8"/>
        <v>34870</v>
      </c>
      <c r="R59" s="14">
        <f t="shared" si="8"/>
        <v>16247</v>
      </c>
      <c r="S59" s="14">
        <f t="shared" si="8"/>
        <v>4505</v>
      </c>
      <c r="T59" s="14">
        <f t="shared" si="8"/>
        <v>445131</v>
      </c>
    </row>
    <row r="60" spans="1:20" s="26" customFormat="1" ht="19.5" customHeight="1">
      <c r="A60" s="36" t="s">
        <v>71</v>
      </c>
      <c r="B60" s="35">
        <f aca="true" t="shared" si="9" ref="B60:T60">B59/12</f>
        <v>409.5833333333333</v>
      </c>
      <c r="C60" s="35">
        <f t="shared" si="9"/>
        <v>734.1666666666666</v>
      </c>
      <c r="D60" s="35">
        <f t="shared" si="9"/>
        <v>264.1666666666667</v>
      </c>
      <c r="E60" s="35">
        <f t="shared" si="9"/>
        <v>1222.4166666666667</v>
      </c>
      <c r="F60" s="35">
        <f t="shared" si="9"/>
        <v>1392.4166666666667</v>
      </c>
      <c r="G60" s="35">
        <f t="shared" si="9"/>
        <v>1841.25</v>
      </c>
      <c r="H60" s="35">
        <f t="shared" si="9"/>
        <v>2192.4166666666665</v>
      </c>
      <c r="I60" s="35">
        <f t="shared" si="9"/>
        <v>2829.4166666666665</v>
      </c>
      <c r="J60" s="35">
        <f t="shared" si="9"/>
        <v>2596</v>
      </c>
      <c r="K60" s="35">
        <f t="shared" si="9"/>
        <v>1198.8333333333333</v>
      </c>
      <c r="L60" s="35">
        <f t="shared" si="9"/>
        <v>1419.75</v>
      </c>
      <c r="M60" s="35">
        <f t="shared" si="9"/>
        <v>4076.8333333333335</v>
      </c>
      <c r="N60" s="35">
        <f t="shared" si="9"/>
        <v>675.25</v>
      </c>
      <c r="O60" s="35">
        <f t="shared" si="9"/>
        <v>7949</v>
      </c>
      <c r="P60" s="35">
        <f t="shared" si="9"/>
        <v>3657.5833333333335</v>
      </c>
      <c r="Q60" s="35">
        <f t="shared" si="9"/>
        <v>2905.8333333333335</v>
      </c>
      <c r="R60" s="35">
        <f t="shared" si="9"/>
        <v>1353.9166666666667</v>
      </c>
      <c r="S60" s="35">
        <f t="shared" si="9"/>
        <v>375.4166666666667</v>
      </c>
      <c r="T60" s="35">
        <f t="shared" si="9"/>
        <v>37094.25</v>
      </c>
    </row>
    <row r="61" spans="1:20" s="26" customFormat="1" ht="19.5" customHeight="1">
      <c r="A61" s="27" t="s">
        <v>135</v>
      </c>
      <c r="B61" s="24">
        <f>B60/93</f>
        <v>4.404121863799283</v>
      </c>
      <c r="C61" s="25">
        <f>C60/129</f>
        <v>5.691214470284238</v>
      </c>
      <c r="D61" s="25">
        <f>D60/42</f>
        <v>6.28968253968254</v>
      </c>
      <c r="E61" s="25">
        <f>E60/194</f>
        <v>6.301116838487973</v>
      </c>
      <c r="F61" s="25">
        <f>F60/296</f>
        <v>4.70411036036036</v>
      </c>
      <c r="G61" s="25">
        <f>G60/359</f>
        <v>5.128830083565459</v>
      </c>
      <c r="H61" s="25">
        <f>H60/368</f>
        <v>5.957653985507246</v>
      </c>
      <c r="I61" s="25">
        <f>I60/312</f>
        <v>9.068643162393162</v>
      </c>
      <c r="J61" s="25">
        <f>J60/(99+120+122)</f>
        <v>7.612903225806452</v>
      </c>
      <c r="K61" s="25">
        <f>K60/295</f>
        <v>4.063841807909604</v>
      </c>
      <c r="L61" s="24">
        <f>L60/282</f>
        <v>5.034574468085107</v>
      </c>
      <c r="M61" s="24">
        <f>M60/(363+80)</f>
        <v>9.20278404815651</v>
      </c>
      <c r="N61" s="24">
        <f>N60/127</f>
        <v>5.316929133858268</v>
      </c>
      <c r="O61" s="24">
        <f>O60/750</f>
        <v>10.598666666666666</v>
      </c>
      <c r="P61" s="24">
        <f>P60/328</f>
        <v>11.151168699186993</v>
      </c>
      <c r="Q61" s="24">
        <f>Q60/320</f>
        <v>9.080729166666668</v>
      </c>
      <c r="R61" s="24">
        <f>R60/192</f>
        <v>7.051649305555556</v>
      </c>
      <c r="S61" s="24">
        <f>S60/160</f>
        <v>2.346354166666667</v>
      </c>
      <c r="T61" s="24">
        <f>T60/5031</f>
        <v>7.373136553369111</v>
      </c>
    </row>
    <row r="62" spans="1:20" s="26" customFormat="1" ht="19.5" customHeight="1">
      <c r="A62" s="27" t="s">
        <v>141</v>
      </c>
      <c r="B62" s="24">
        <f aca="true" t="shared" si="10" ref="B62:T62">B61*12/2.5</f>
        <v>21.139784946236556</v>
      </c>
      <c r="C62" s="24">
        <f t="shared" si="10"/>
        <v>27.317829457364343</v>
      </c>
      <c r="D62" s="24">
        <f t="shared" si="10"/>
        <v>30.190476190476193</v>
      </c>
      <c r="E62" s="24">
        <f t="shared" si="10"/>
        <v>30.24536082474227</v>
      </c>
      <c r="F62" s="24">
        <f t="shared" si="10"/>
        <v>22.579729729729728</v>
      </c>
      <c r="G62" s="24">
        <f t="shared" si="10"/>
        <v>24.618384401114206</v>
      </c>
      <c r="H62" s="24">
        <f t="shared" si="10"/>
        <v>28.59673913043478</v>
      </c>
      <c r="I62" s="24">
        <f t="shared" si="10"/>
        <v>43.52948717948718</v>
      </c>
      <c r="J62" s="24">
        <f t="shared" si="10"/>
        <v>36.54193548387097</v>
      </c>
      <c r="K62" s="24">
        <f t="shared" si="10"/>
        <v>19.5064406779661</v>
      </c>
      <c r="L62" s="24">
        <f t="shared" si="10"/>
        <v>24.165957446808513</v>
      </c>
      <c r="M62" s="24">
        <f t="shared" si="10"/>
        <v>44.173363431151245</v>
      </c>
      <c r="N62" s="24">
        <f t="shared" si="10"/>
        <v>25.521259842519687</v>
      </c>
      <c r="O62" s="24">
        <f t="shared" si="10"/>
        <v>50.873599999999996</v>
      </c>
      <c r="P62" s="24">
        <f t="shared" si="10"/>
        <v>53.52560975609756</v>
      </c>
      <c r="Q62" s="24">
        <f t="shared" si="10"/>
        <v>43.587500000000006</v>
      </c>
      <c r="R62" s="24">
        <f t="shared" si="10"/>
        <v>33.84791666666667</v>
      </c>
      <c r="S62" s="24">
        <f t="shared" si="10"/>
        <v>11.262500000000001</v>
      </c>
      <c r="T62" s="24">
        <f t="shared" si="10"/>
        <v>35.391055456171735</v>
      </c>
    </row>
    <row r="63" spans="1:20" s="31" customFormat="1" ht="19.5" customHeight="1">
      <c r="A63" s="30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5" spans="1:20" ht="18" customHeight="1">
      <c r="A65" s="9" t="s">
        <v>18</v>
      </c>
      <c r="B65" s="9" t="s">
        <v>0</v>
      </c>
      <c r="C65" s="9" t="s">
        <v>1</v>
      </c>
      <c r="D65" s="9" t="s">
        <v>2</v>
      </c>
      <c r="E65" s="9" t="s">
        <v>3</v>
      </c>
      <c r="F65" s="9" t="s">
        <v>4</v>
      </c>
      <c r="G65" s="9" t="s">
        <v>5</v>
      </c>
      <c r="H65" s="9" t="s">
        <v>6</v>
      </c>
      <c r="I65" s="9" t="s">
        <v>7</v>
      </c>
      <c r="J65" s="9" t="s">
        <v>8</v>
      </c>
      <c r="K65" s="9" t="s">
        <v>9</v>
      </c>
      <c r="L65" s="9" t="s">
        <v>10</v>
      </c>
      <c r="M65" s="9" t="s">
        <v>11</v>
      </c>
      <c r="N65" s="9" t="s">
        <v>12</v>
      </c>
      <c r="O65" s="9" t="s">
        <v>13</v>
      </c>
      <c r="P65" s="9" t="s">
        <v>14</v>
      </c>
      <c r="Q65" s="9" t="s">
        <v>15</v>
      </c>
      <c r="R65" s="9" t="s">
        <v>16</v>
      </c>
      <c r="S65" s="9" t="s">
        <v>17</v>
      </c>
      <c r="T65" s="10" t="s">
        <v>134</v>
      </c>
    </row>
    <row r="66" spans="1:20" s="26" customFormat="1" ht="18" customHeight="1">
      <c r="A66" s="13" t="s">
        <v>136</v>
      </c>
      <c r="B66" s="9">
        <v>476</v>
      </c>
      <c r="C66" s="9">
        <v>1234</v>
      </c>
      <c r="D66" s="9">
        <v>382</v>
      </c>
      <c r="E66" s="9">
        <v>1787</v>
      </c>
      <c r="F66" s="9">
        <v>2253</v>
      </c>
      <c r="G66" s="9">
        <f>2220+827</f>
        <v>3047</v>
      </c>
      <c r="H66" s="9">
        <v>3668</v>
      </c>
      <c r="I66" s="9">
        <v>4015</v>
      </c>
      <c r="J66" s="9">
        <v>4183</v>
      </c>
      <c r="K66" s="9">
        <v>1801</v>
      </c>
      <c r="L66" s="9">
        <v>2323</v>
      </c>
      <c r="M66" s="9">
        <f>864+1820+1852</f>
        <v>4536</v>
      </c>
      <c r="N66" s="9">
        <v>1025</v>
      </c>
      <c r="O66" s="9">
        <f>5494+5795</f>
        <v>11289</v>
      </c>
      <c r="P66" s="9">
        <f>2081+3165</f>
        <v>5246</v>
      </c>
      <c r="Q66" s="9">
        <v>4613</v>
      </c>
      <c r="R66" s="9">
        <v>1969</v>
      </c>
      <c r="S66" s="9">
        <v>846</v>
      </c>
      <c r="T66" s="9">
        <f aca="true" t="shared" si="11" ref="T66:T77">SUM(B66:S66)</f>
        <v>54693</v>
      </c>
    </row>
    <row r="67" spans="1:20" s="26" customFormat="1" ht="18" customHeight="1">
      <c r="A67" s="13" t="s">
        <v>137</v>
      </c>
      <c r="B67" s="9">
        <v>375</v>
      </c>
      <c r="C67" s="9">
        <v>730</v>
      </c>
      <c r="D67" s="9">
        <v>221</v>
      </c>
      <c r="E67" s="9">
        <v>950</v>
      </c>
      <c r="F67" s="9">
        <v>1265</v>
      </c>
      <c r="G67" s="9">
        <f>1197+396</f>
        <v>1593</v>
      </c>
      <c r="H67" s="9">
        <v>2438</v>
      </c>
      <c r="I67" s="9">
        <v>2149</v>
      </c>
      <c r="J67" s="9">
        <v>3027</v>
      </c>
      <c r="K67" s="9">
        <v>844</v>
      </c>
      <c r="L67" s="9">
        <v>1449</v>
      </c>
      <c r="M67" s="9">
        <f>437+923+1124</f>
        <v>2484</v>
      </c>
      <c r="N67" s="9">
        <v>623</v>
      </c>
      <c r="O67" s="9">
        <f>3003+3132</f>
        <v>6135</v>
      </c>
      <c r="P67" s="9">
        <f>1033+2304</f>
        <v>3337</v>
      </c>
      <c r="Q67" s="9">
        <v>3147</v>
      </c>
      <c r="R67" s="9">
        <v>1170</v>
      </c>
      <c r="S67" s="9">
        <v>431</v>
      </c>
      <c r="T67" s="9">
        <f t="shared" si="11"/>
        <v>32368</v>
      </c>
    </row>
    <row r="68" spans="1:20" s="26" customFormat="1" ht="18" customHeight="1">
      <c r="A68" s="13" t="s">
        <v>112</v>
      </c>
      <c r="B68" s="9">
        <v>645</v>
      </c>
      <c r="C68" s="9">
        <v>1261</v>
      </c>
      <c r="D68" s="9">
        <v>350</v>
      </c>
      <c r="E68" s="9">
        <v>1895</v>
      </c>
      <c r="F68" s="9">
        <v>3146</v>
      </c>
      <c r="G68" s="9">
        <f>2253+98</f>
        <v>2351</v>
      </c>
      <c r="H68" s="9">
        <v>4043</v>
      </c>
      <c r="I68" s="9">
        <v>3995</v>
      </c>
      <c r="J68" s="9">
        <v>4347</v>
      </c>
      <c r="K68" s="9">
        <v>1865</v>
      </c>
      <c r="L68" s="9">
        <v>2979</v>
      </c>
      <c r="M68" s="9">
        <f>932+1586+2065</f>
        <v>4583</v>
      </c>
      <c r="N68" s="9">
        <v>1035</v>
      </c>
      <c r="O68" s="9">
        <f>6845+7118</f>
        <v>13963</v>
      </c>
      <c r="P68" s="9">
        <f>2580+3461</f>
        <v>6041</v>
      </c>
      <c r="Q68" s="9">
        <v>4795</v>
      </c>
      <c r="R68" s="9">
        <v>2374</v>
      </c>
      <c r="S68" s="9">
        <v>1142</v>
      </c>
      <c r="T68" s="9">
        <f t="shared" si="11"/>
        <v>60810</v>
      </c>
    </row>
    <row r="69" spans="1:20" s="26" customFormat="1" ht="18" customHeight="1">
      <c r="A69" s="13" t="s">
        <v>113</v>
      </c>
      <c r="B69" s="9">
        <v>498</v>
      </c>
      <c r="C69" s="9">
        <v>905</v>
      </c>
      <c r="D69" s="9">
        <v>248</v>
      </c>
      <c r="E69" s="9">
        <v>1365</v>
      </c>
      <c r="F69" s="9">
        <v>2092</v>
      </c>
      <c r="G69" s="9">
        <f>1694+98</f>
        <v>1792</v>
      </c>
      <c r="H69" s="9">
        <v>2769</v>
      </c>
      <c r="I69" s="9">
        <v>3143</v>
      </c>
      <c r="J69" s="9">
        <v>3266</v>
      </c>
      <c r="K69" s="9">
        <v>1377</v>
      </c>
      <c r="L69" s="9">
        <v>2045</v>
      </c>
      <c r="M69" s="9">
        <f>605+1473+1944</f>
        <v>4022</v>
      </c>
      <c r="N69" s="9">
        <v>763</v>
      </c>
      <c r="O69" s="9">
        <f>5959+6182</f>
        <v>12141</v>
      </c>
      <c r="P69" s="9">
        <f>2320+2965</f>
        <v>5285</v>
      </c>
      <c r="Q69" s="9">
        <v>3392</v>
      </c>
      <c r="R69" s="9">
        <v>1720</v>
      </c>
      <c r="S69" s="9">
        <v>719</v>
      </c>
      <c r="T69" s="9">
        <f t="shared" si="11"/>
        <v>47542</v>
      </c>
    </row>
    <row r="70" spans="1:20" s="26" customFormat="1" ht="18" customHeight="1">
      <c r="A70" s="13" t="s">
        <v>114</v>
      </c>
      <c r="B70" s="9">
        <v>379</v>
      </c>
      <c r="C70" s="9">
        <v>649</v>
      </c>
      <c r="D70" s="9">
        <v>180</v>
      </c>
      <c r="E70" s="9">
        <v>1006</v>
      </c>
      <c r="F70" s="9">
        <v>1511</v>
      </c>
      <c r="G70" s="9">
        <v>1495</v>
      </c>
      <c r="H70" s="9">
        <v>2074</v>
      </c>
      <c r="I70" s="9">
        <v>2526</v>
      </c>
      <c r="J70" s="9">
        <v>2373</v>
      </c>
      <c r="K70" s="9">
        <v>956</v>
      </c>
      <c r="L70" s="9">
        <v>1535</v>
      </c>
      <c r="M70" s="9">
        <f>292+1434+1429</f>
        <v>3155</v>
      </c>
      <c r="N70" s="9">
        <v>569</v>
      </c>
      <c r="O70" s="9">
        <v>9424</v>
      </c>
      <c r="P70" s="9">
        <v>4552</v>
      </c>
      <c r="Q70" s="9">
        <v>2460</v>
      </c>
      <c r="R70" s="9">
        <v>1207</v>
      </c>
      <c r="S70" s="9">
        <v>556</v>
      </c>
      <c r="T70" s="9">
        <f t="shared" si="11"/>
        <v>36607</v>
      </c>
    </row>
    <row r="71" spans="1:20" s="26" customFormat="1" ht="18" customHeight="1">
      <c r="A71" s="13" t="s">
        <v>115</v>
      </c>
      <c r="B71" s="9">
        <f>94379-94051</f>
        <v>328</v>
      </c>
      <c r="C71" s="9">
        <f>15102-14538</f>
        <v>564</v>
      </c>
      <c r="D71" s="9">
        <f>91155-90997</f>
        <v>158</v>
      </c>
      <c r="E71" s="9">
        <f>29011-28173</f>
        <v>838</v>
      </c>
      <c r="F71" s="9">
        <f>53485-52211</f>
        <v>1274</v>
      </c>
      <c r="G71" s="9">
        <f>55080+7769-54019-7599</f>
        <v>1231</v>
      </c>
      <c r="H71" s="9">
        <f>88896-87237</f>
        <v>1659</v>
      </c>
      <c r="I71" s="9">
        <f>52616-50351</f>
        <v>2265</v>
      </c>
      <c r="J71" s="9">
        <f>52632-50619</f>
        <v>2013</v>
      </c>
      <c r="K71" s="9">
        <f>76725-75935</f>
        <v>790</v>
      </c>
      <c r="L71" s="9">
        <f>48085-46760</f>
        <v>1325</v>
      </c>
      <c r="M71" s="9">
        <f>39585+10555+22699-21362-9284-39336</f>
        <v>2857</v>
      </c>
      <c r="N71" s="9">
        <f>4449-3950</f>
        <v>499</v>
      </c>
      <c r="O71" s="9">
        <f>71773+83062-67778-78940</f>
        <v>8117</v>
      </c>
      <c r="P71" s="9">
        <v>4552</v>
      </c>
      <c r="Q71" s="9">
        <v>2030</v>
      </c>
      <c r="R71" s="9">
        <f>16397-15382</f>
        <v>1015</v>
      </c>
      <c r="S71" s="9">
        <f>5362-4938</f>
        <v>424</v>
      </c>
      <c r="T71" s="9">
        <f t="shared" si="11"/>
        <v>31939</v>
      </c>
    </row>
    <row r="72" spans="1:20" s="26" customFormat="1" ht="18" customHeight="1">
      <c r="A72" s="13" t="s">
        <v>116</v>
      </c>
      <c r="B72" s="9">
        <f>94698-94379</f>
        <v>319</v>
      </c>
      <c r="C72" s="9">
        <f>15180-15102</f>
        <v>78</v>
      </c>
      <c r="D72" s="9">
        <f>91268-91155</f>
        <v>113</v>
      </c>
      <c r="E72" s="9">
        <f>29655-29011</f>
        <v>644</v>
      </c>
      <c r="F72" s="9">
        <f>53885-53485</f>
        <v>400</v>
      </c>
      <c r="G72" s="9">
        <f>55386+7961-7769-55080</f>
        <v>498</v>
      </c>
      <c r="H72" s="9">
        <f>90301-88896</f>
        <v>1405</v>
      </c>
      <c r="I72" s="9">
        <f>54586-52616</f>
        <v>1970</v>
      </c>
      <c r="J72" s="9">
        <f>54311-52632</f>
        <v>1679</v>
      </c>
      <c r="K72" s="9">
        <f>77347-76725</f>
        <v>622</v>
      </c>
      <c r="L72" s="9">
        <f>48497-48085</f>
        <v>412</v>
      </c>
      <c r="M72" s="9">
        <f>39791+11460+24195-39585-10555-22699</f>
        <v>2607</v>
      </c>
      <c r="N72" s="9">
        <f>4864-4449</f>
        <v>415</v>
      </c>
      <c r="O72" s="9">
        <f>73943+85289-71773-83062</f>
        <v>4397</v>
      </c>
      <c r="P72" s="9">
        <v>4522</v>
      </c>
      <c r="Q72" s="9">
        <v>595</v>
      </c>
      <c r="R72" s="9">
        <f>17090-16397</f>
        <v>693</v>
      </c>
      <c r="S72" s="9">
        <f>5565-5362</f>
        <v>203</v>
      </c>
      <c r="T72" s="9">
        <f t="shared" si="11"/>
        <v>21572</v>
      </c>
    </row>
    <row r="73" spans="1:20" s="26" customFormat="1" ht="18" customHeight="1">
      <c r="A73" s="13" t="s">
        <v>117</v>
      </c>
      <c r="B73" s="9">
        <f>95006-94698</f>
        <v>308</v>
      </c>
      <c r="C73" s="9">
        <f>16157-15180</f>
        <v>977</v>
      </c>
      <c r="D73" s="9">
        <f>91414-91268</f>
        <v>146</v>
      </c>
      <c r="E73" s="9">
        <f>30361-29655</f>
        <v>706</v>
      </c>
      <c r="F73" s="9">
        <f>54187-53885</f>
        <v>302</v>
      </c>
      <c r="G73" s="9">
        <f>55566+8159-55386-7961</f>
        <v>378</v>
      </c>
      <c r="H73" s="9">
        <f>91860-90301</f>
        <v>1559</v>
      </c>
      <c r="I73" s="9">
        <f>56564-54586</f>
        <v>1978</v>
      </c>
      <c r="J73" s="9">
        <f>56121-54311</f>
        <v>1810</v>
      </c>
      <c r="K73" s="9">
        <f>77946-77347</f>
        <v>599</v>
      </c>
      <c r="L73" s="9">
        <f>48582-48497</f>
        <v>85</v>
      </c>
      <c r="M73" s="9">
        <f>40077+12496+25593-39791-11460-24195</f>
        <v>2720</v>
      </c>
      <c r="N73" s="9">
        <f>5324-4864</f>
        <v>460</v>
      </c>
      <c r="O73" s="9">
        <f>75884+87224-73943-85289</f>
        <v>3876</v>
      </c>
      <c r="P73" s="9">
        <f>12381+10545-10242-8243</f>
        <v>4441</v>
      </c>
      <c r="Q73" s="9">
        <f>62549-62040</f>
        <v>509</v>
      </c>
      <c r="R73" s="9">
        <f>17716-17090</f>
        <v>626</v>
      </c>
      <c r="S73" s="9">
        <f>5793-5565</f>
        <v>228</v>
      </c>
      <c r="T73" s="9">
        <f t="shared" si="11"/>
        <v>21708</v>
      </c>
    </row>
    <row r="74" spans="1:20" s="26" customFormat="1" ht="18" customHeight="1">
      <c r="A74" s="13" t="s">
        <v>118</v>
      </c>
      <c r="B74" s="9">
        <f>95305-95006</f>
        <v>299</v>
      </c>
      <c r="C74" s="9">
        <f>16672-16157</f>
        <v>515</v>
      </c>
      <c r="D74" s="9">
        <f>91520-91414</f>
        <v>106</v>
      </c>
      <c r="E74" s="9">
        <f>31168-30361</f>
        <v>807</v>
      </c>
      <c r="F74" s="9">
        <f>55003-54187</f>
        <v>816</v>
      </c>
      <c r="G74" s="9">
        <f>56237-55566+8326-8159</f>
        <v>838</v>
      </c>
      <c r="H74" s="9">
        <f>93311-91860</f>
        <v>1451</v>
      </c>
      <c r="I74" s="9">
        <f>58696-56564</f>
        <v>2132</v>
      </c>
      <c r="J74" s="9">
        <f>57875-56121</f>
        <v>1754</v>
      </c>
      <c r="K74" s="9">
        <f>78591-77946</f>
        <v>645</v>
      </c>
      <c r="L74" s="9">
        <f>49289-48582</f>
        <v>707</v>
      </c>
      <c r="M74" s="9">
        <f>40376+13416+26758-40077-12496-25593</f>
        <v>2384</v>
      </c>
      <c r="N74" s="9">
        <f>5748-5324</f>
        <v>424</v>
      </c>
      <c r="O74" s="9">
        <f>78626+90016-75884-87224</f>
        <v>5534</v>
      </c>
      <c r="P74" s="9">
        <f>14900+12273-12381-10545</f>
        <v>4247</v>
      </c>
      <c r="Q74" s="9">
        <f>64303-62549</f>
        <v>1754</v>
      </c>
      <c r="R74" s="9">
        <f>18611-17716</f>
        <v>895</v>
      </c>
      <c r="S74" s="9">
        <f>6087-5793</f>
        <v>294</v>
      </c>
      <c r="T74" s="9">
        <f t="shared" si="11"/>
        <v>25602</v>
      </c>
    </row>
    <row r="75" spans="1:20" s="26" customFormat="1" ht="18" customHeight="1">
      <c r="A75" s="13" t="s">
        <v>119</v>
      </c>
      <c r="B75" s="9">
        <f>95716-95305</f>
        <v>411</v>
      </c>
      <c r="C75" s="9">
        <f>17286-16672</f>
        <v>614</v>
      </c>
      <c r="D75" s="9">
        <f>91720-91520</f>
        <v>200</v>
      </c>
      <c r="E75" s="9">
        <f>32640-31168</f>
        <v>1472</v>
      </c>
      <c r="F75" s="9">
        <f>56263-55003</f>
        <v>1260</v>
      </c>
      <c r="G75" s="9">
        <f>(57379-56237)+(8491-8326)</f>
        <v>1307</v>
      </c>
      <c r="H75" s="9">
        <f>95398-93311</f>
        <v>2087</v>
      </c>
      <c r="I75" s="9">
        <f>61412-58696</f>
        <v>2716</v>
      </c>
      <c r="J75" s="9">
        <f>60314-57875</f>
        <v>2439</v>
      </c>
      <c r="K75" s="9">
        <f>79513-78591</f>
        <v>922</v>
      </c>
      <c r="L75" s="9">
        <f>50629-49289</f>
        <v>1340</v>
      </c>
      <c r="M75" s="9">
        <f>(40756-40376)+(14721-13416)+(28009-26758)</f>
        <v>2936</v>
      </c>
      <c r="N75" s="9">
        <f>6327-5748</f>
        <v>579</v>
      </c>
      <c r="O75" s="9">
        <f>(82234-78626)+(93732-90016)</f>
        <v>7324</v>
      </c>
      <c r="P75" s="9">
        <f>(17461-14900)+(14048-12273)</f>
        <v>4336</v>
      </c>
      <c r="Q75" s="9">
        <f>(66854-64303)</f>
        <v>2551</v>
      </c>
      <c r="R75" s="9">
        <f>(19934-18611)</f>
        <v>1323</v>
      </c>
      <c r="S75" s="9">
        <f>6557-6087</f>
        <v>470</v>
      </c>
      <c r="T75" s="9">
        <f t="shared" si="11"/>
        <v>34287</v>
      </c>
    </row>
    <row r="76" spans="1:20" s="26" customFormat="1" ht="18" customHeight="1">
      <c r="A76" s="13" t="s">
        <v>120</v>
      </c>
      <c r="B76" s="9">
        <f>96211-95716</f>
        <v>495</v>
      </c>
      <c r="C76" s="9">
        <f>17985-17286</f>
        <v>699</v>
      </c>
      <c r="D76" s="9">
        <f>91985-91720</f>
        <v>265</v>
      </c>
      <c r="E76" s="9">
        <f>34520-32640</f>
        <v>1880</v>
      </c>
      <c r="F76" s="9">
        <f>57844-56263</f>
        <v>1581</v>
      </c>
      <c r="G76" s="9">
        <f>(58851-57379)+(8654-8491)</f>
        <v>1635</v>
      </c>
      <c r="H76" s="9">
        <f>97886-95398</f>
        <v>2488</v>
      </c>
      <c r="I76" s="9">
        <f>64519-61412</f>
        <v>3107</v>
      </c>
      <c r="J76" s="9">
        <f>63131-60314</f>
        <v>2817</v>
      </c>
      <c r="K76" s="9">
        <f>80605-79513</f>
        <v>1092</v>
      </c>
      <c r="L76" s="9">
        <f>52347-50629</f>
        <v>1718</v>
      </c>
      <c r="M76" s="9">
        <f>(41271-40756)+(16105-14721)+(29483-28009)</f>
        <v>3373</v>
      </c>
      <c r="N76" s="9">
        <f>7005-6327</f>
        <v>678</v>
      </c>
      <c r="O76" s="9">
        <f>(87110-82234)+(98733-93732)</f>
        <v>9877</v>
      </c>
      <c r="P76" s="9">
        <f>(19058-17461)+(15652-14048)</f>
        <v>3201</v>
      </c>
      <c r="Q76" s="9">
        <f>69969-66854</f>
        <v>3115</v>
      </c>
      <c r="R76" s="9">
        <f>21542-19934</f>
        <v>1608</v>
      </c>
      <c r="S76" s="9">
        <f>7148-6557</f>
        <v>591</v>
      </c>
      <c r="T76" s="9">
        <f t="shared" si="11"/>
        <v>40220</v>
      </c>
    </row>
    <row r="77" spans="1:20" s="26" customFormat="1" ht="18" customHeight="1">
      <c r="A77" s="13" t="s">
        <v>121</v>
      </c>
      <c r="B77" s="9">
        <v>682</v>
      </c>
      <c r="C77" s="9">
        <v>1175</v>
      </c>
      <c r="D77" s="9">
        <v>376</v>
      </c>
      <c r="E77" s="9">
        <v>3004</v>
      </c>
      <c r="F77" s="9">
        <v>2568</v>
      </c>
      <c r="G77" s="9">
        <f>2333+177</f>
        <v>2510</v>
      </c>
      <c r="H77" s="9">
        <v>3870</v>
      </c>
      <c r="I77" s="9">
        <v>4602</v>
      </c>
      <c r="J77" s="9">
        <v>4447</v>
      </c>
      <c r="K77" s="9">
        <v>1559</v>
      </c>
      <c r="L77" s="9">
        <v>2756</v>
      </c>
      <c r="M77" s="9">
        <f>980+1820+2089</f>
        <v>4889</v>
      </c>
      <c r="N77" s="9">
        <f>1077</f>
        <v>1077</v>
      </c>
      <c r="O77" s="9">
        <f>7140+7487</f>
        <v>14627</v>
      </c>
      <c r="P77" s="9">
        <f>2234+2353</f>
        <v>4587</v>
      </c>
      <c r="Q77" s="9">
        <v>4850</v>
      </c>
      <c r="R77" s="9">
        <v>2439</v>
      </c>
      <c r="S77" s="9">
        <v>1040</v>
      </c>
      <c r="T77" s="9">
        <f t="shared" si="11"/>
        <v>61058</v>
      </c>
    </row>
    <row r="78" spans="1:20" ht="18" customHeight="1">
      <c r="A78" s="15" t="s">
        <v>74</v>
      </c>
      <c r="B78" s="14">
        <f aca="true" t="shared" si="12" ref="B78:T78">SUM(B66:B77)</f>
        <v>5215</v>
      </c>
      <c r="C78" s="14">
        <f t="shared" si="12"/>
        <v>9401</v>
      </c>
      <c r="D78" s="14">
        <f t="shared" si="12"/>
        <v>2745</v>
      </c>
      <c r="E78" s="14">
        <f t="shared" si="12"/>
        <v>16354</v>
      </c>
      <c r="F78" s="14">
        <f t="shared" si="12"/>
        <v>18468</v>
      </c>
      <c r="G78" s="14">
        <f t="shared" si="12"/>
        <v>18675</v>
      </c>
      <c r="H78" s="14">
        <f t="shared" si="12"/>
        <v>29511</v>
      </c>
      <c r="I78" s="14">
        <f t="shared" si="12"/>
        <v>34598</v>
      </c>
      <c r="J78" s="14">
        <f t="shared" si="12"/>
        <v>34155</v>
      </c>
      <c r="K78" s="14">
        <f t="shared" si="12"/>
        <v>13072</v>
      </c>
      <c r="L78" s="14">
        <f t="shared" si="12"/>
        <v>18674</v>
      </c>
      <c r="M78" s="14">
        <f t="shared" si="12"/>
        <v>40546</v>
      </c>
      <c r="N78" s="14">
        <f t="shared" si="12"/>
        <v>8147</v>
      </c>
      <c r="O78" s="14">
        <f t="shared" si="12"/>
        <v>106704</v>
      </c>
      <c r="P78" s="14">
        <f t="shared" si="12"/>
        <v>54347</v>
      </c>
      <c r="Q78" s="14">
        <f t="shared" si="12"/>
        <v>33811</v>
      </c>
      <c r="R78" s="14">
        <f t="shared" si="12"/>
        <v>17039</v>
      </c>
      <c r="S78" s="14">
        <f t="shared" si="12"/>
        <v>6944</v>
      </c>
      <c r="T78" s="14">
        <f t="shared" si="12"/>
        <v>468406</v>
      </c>
    </row>
    <row r="79" spans="1:20" s="26" customFormat="1" ht="18" customHeight="1">
      <c r="A79" s="36" t="s">
        <v>71</v>
      </c>
      <c r="B79" s="35">
        <f aca="true" t="shared" si="13" ref="B79:T79">B78/12</f>
        <v>434.5833333333333</v>
      </c>
      <c r="C79" s="35">
        <f t="shared" si="13"/>
        <v>783.4166666666666</v>
      </c>
      <c r="D79" s="35">
        <f t="shared" si="13"/>
        <v>228.75</v>
      </c>
      <c r="E79" s="35">
        <f t="shared" si="13"/>
        <v>1362.8333333333333</v>
      </c>
      <c r="F79" s="35">
        <f t="shared" si="13"/>
        <v>1539</v>
      </c>
      <c r="G79" s="35">
        <f t="shared" si="13"/>
        <v>1556.25</v>
      </c>
      <c r="H79" s="35">
        <f t="shared" si="13"/>
        <v>2459.25</v>
      </c>
      <c r="I79" s="35">
        <f t="shared" si="13"/>
        <v>2883.1666666666665</v>
      </c>
      <c r="J79" s="35">
        <f t="shared" si="13"/>
        <v>2846.25</v>
      </c>
      <c r="K79" s="35">
        <f t="shared" si="13"/>
        <v>1089.3333333333333</v>
      </c>
      <c r="L79" s="35">
        <f t="shared" si="13"/>
        <v>1556.1666666666667</v>
      </c>
      <c r="M79" s="35">
        <f t="shared" si="13"/>
        <v>3378.8333333333335</v>
      </c>
      <c r="N79" s="35">
        <f t="shared" si="13"/>
        <v>678.9166666666666</v>
      </c>
      <c r="O79" s="35">
        <f t="shared" si="13"/>
        <v>8892</v>
      </c>
      <c r="P79" s="35">
        <f t="shared" si="13"/>
        <v>4528.916666666667</v>
      </c>
      <c r="Q79" s="35">
        <f t="shared" si="13"/>
        <v>2817.5833333333335</v>
      </c>
      <c r="R79" s="35">
        <f t="shared" si="13"/>
        <v>1419.9166666666667</v>
      </c>
      <c r="S79" s="35">
        <f t="shared" si="13"/>
        <v>578.6666666666666</v>
      </c>
      <c r="T79" s="35">
        <f t="shared" si="13"/>
        <v>39033.833333333336</v>
      </c>
    </row>
    <row r="80" spans="1:20" s="26" customFormat="1" ht="18" customHeight="1">
      <c r="A80" s="27" t="s">
        <v>135</v>
      </c>
      <c r="B80" s="24">
        <f>B79/93</f>
        <v>4.672939068100359</v>
      </c>
      <c r="C80" s="25">
        <f>C79/129</f>
        <v>6.072997416020671</v>
      </c>
      <c r="D80" s="25">
        <f>D79/42</f>
        <v>5.446428571428571</v>
      </c>
      <c r="E80" s="25">
        <f>E79/194</f>
        <v>7.024914089347079</v>
      </c>
      <c r="F80" s="25">
        <f>F79/296</f>
        <v>5.199324324324325</v>
      </c>
      <c r="G80" s="25">
        <f>G79/359</f>
        <v>4.334958217270195</v>
      </c>
      <c r="H80" s="25">
        <f>H79/368</f>
        <v>6.682744565217392</v>
      </c>
      <c r="I80" s="25">
        <f>I79/312</f>
        <v>9.240918803418802</v>
      </c>
      <c r="J80" s="25">
        <f>J79/(99+120+122)</f>
        <v>8.346774193548388</v>
      </c>
      <c r="K80" s="25">
        <f>K79/295</f>
        <v>3.6926553672316382</v>
      </c>
      <c r="L80" s="24">
        <f>L79/282</f>
        <v>5.518321513002364</v>
      </c>
      <c r="M80" s="24">
        <f>M79/(363+80)</f>
        <v>7.6271632806621525</v>
      </c>
      <c r="N80" s="24">
        <f>N79/127</f>
        <v>5.345800524934383</v>
      </c>
      <c r="O80" s="24">
        <f>O79/750</f>
        <v>11.856</v>
      </c>
      <c r="P80" s="24">
        <f>P79/328</f>
        <v>13.807672764227643</v>
      </c>
      <c r="Q80" s="24">
        <f>Q79/320</f>
        <v>8.804947916666666</v>
      </c>
      <c r="R80" s="24">
        <f>R79/192</f>
        <v>7.395399305555556</v>
      </c>
      <c r="S80" s="24">
        <f>S79/160</f>
        <v>3.6166666666666663</v>
      </c>
      <c r="T80" s="24">
        <f>T79/5031</f>
        <v>7.758662956337376</v>
      </c>
    </row>
    <row r="81" spans="1:20" s="26" customFormat="1" ht="18" customHeight="1">
      <c r="A81" s="27" t="s">
        <v>141</v>
      </c>
      <c r="B81" s="24">
        <f aca="true" t="shared" si="14" ref="B81:T81">B80*12/2.5</f>
        <v>22.43010752688172</v>
      </c>
      <c r="C81" s="24">
        <f t="shared" si="14"/>
        <v>29.150387596899225</v>
      </c>
      <c r="D81" s="24">
        <f t="shared" si="14"/>
        <v>26.142857142857146</v>
      </c>
      <c r="E81" s="24">
        <f t="shared" si="14"/>
        <v>33.71958762886598</v>
      </c>
      <c r="F81" s="24">
        <f t="shared" si="14"/>
        <v>24.956756756756757</v>
      </c>
      <c r="G81" s="24">
        <f t="shared" si="14"/>
        <v>20.807799442896936</v>
      </c>
      <c r="H81" s="24">
        <f t="shared" si="14"/>
        <v>32.07717391304348</v>
      </c>
      <c r="I81" s="24">
        <f t="shared" si="14"/>
        <v>44.35641025641026</v>
      </c>
      <c r="J81" s="24">
        <f t="shared" si="14"/>
        <v>40.06451612903226</v>
      </c>
      <c r="K81" s="24">
        <f t="shared" si="14"/>
        <v>17.724745762711866</v>
      </c>
      <c r="L81" s="24">
        <f t="shared" si="14"/>
        <v>26.487943262411353</v>
      </c>
      <c r="M81" s="24">
        <f t="shared" si="14"/>
        <v>36.61038374717833</v>
      </c>
      <c r="N81" s="24">
        <f t="shared" si="14"/>
        <v>25.659842519685036</v>
      </c>
      <c r="O81" s="24">
        <f t="shared" si="14"/>
        <v>56.9088</v>
      </c>
      <c r="P81" s="24">
        <f t="shared" si="14"/>
        <v>66.27682926829269</v>
      </c>
      <c r="Q81" s="24">
        <f t="shared" si="14"/>
        <v>42.26375</v>
      </c>
      <c r="R81" s="24">
        <f t="shared" si="14"/>
        <v>35.49791666666667</v>
      </c>
      <c r="S81" s="24">
        <f t="shared" si="14"/>
        <v>17.359999999999996</v>
      </c>
      <c r="T81" s="24">
        <f t="shared" si="14"/>
        <v>37.24158219041941</v>
      </c>
    </row>
    <row r="82" spans="1:20" s="31" customFormat="1" ht="18" customHeight="1">
      <c r="A82" s="30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s="31" customFormat="1" ht="18" customHeight="1">
      <c r="A83" s="30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s="31" customFormat="1" ht="18" customHeight="1">
      <c r="A84" s="30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s="31" customFormat="1" ht="18" customHeight="1">
      <c r="A85" s="30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s="31" customFormat="1" ht="18" customHeight="1">
      <c r="A86" s="30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s="31" customFormat="1" ht="18" customHeight="1">
      <c r="A87" s="30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s="31" customFormat="1" ht="18" customHeight="1">
      <c r="A88" s="30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s="31" customFormat="1" ht="18" customHeight="1">
      <c r="A89" s="120" t="s">
        <v>77</v>
      </c>
      <c r="B89" s="120"/>
      <c r="C89" s="120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s="31" customFormat="1" ht="18" customHeight="1">
      <c r="A90" s="9" t="s">
        <v>18</v>
      </c>
      <c r="B90" s="9" t="s">
        <v>0</v>
      </c>
      <c r="C90" s="9" t="s">
        <v>1</v>
      </c>
      <c r="D90" s="9" t="s">
        <v>2</v>
      </c>
      <c r="E90" s="9" t="s">
        <v>3</v>
      </c>
      <c r="F90" s="9" t="s">
        <v>4</v>
      </c>
      <c r="G90" s="9" t="s">
        <v>5</v>
      </c>
      <c r="H90" s="9" t="s">
        <v>6</v>
      </c>
      <c r="I90" s="9" t="s">
        <v>7</v>
      </c>
      <c r="J90" s="9" t="s">
        <v>8</v>
      </c>
      <c r="K90" s="9" t="s">
        <v>9</v>
      </c>
      <c r="L90" s="9" t="s">
        <v>10</v>
      </c>
      <c r="M90" s="9" t="s">
        <v>11</v>
      </c>
      <c r="N90" s="9" t="s">
        <v>12</v>
      </c>
      <c r="O90" s="9" t="s">
        <v>13</v>
      </c>
      <c r="P90" s="9" t="s">
        <v>14</v>
      </c>
      <c r="Q90" s="9" t="s">
        <v>15</v>
      </c>
      <c r="R90" s="9" t="s">
        <v>16</v>
      </c>
      <c r="S90" s="9" t="s">
        <v>17</v>
      </c>
      <c r="T90" s="10" t="s">
        <v>134</v>
      </c>
    </row>
    <row r="91" spans="1:20" s="31" customFormat="1" ht="18" customHeight="1">
      <c r="A91" s="13" t="s">
        <v>143</v>
      </c>
      <c r="B91" s="9">
        <v>370</v>
      </c>
      <c r="C91" s="9">
        <v>846</v>
      </c>
      <c r="D91" s="9">
        <v>280</v>
      </c>
      <c r="E91" s="9">
        <v>1820</v>
      </c>
      <c r="F91" s="9">
        <v>1559</v>
      </c>
      <c r="G91" s="9">
        <f>1369+129</f>
        <v>1498</v>
      </c>
      <c r="H91" s="9">
        <v>2646</v>
      </c>
      <c r="I91" s="9">
        <v>1332</v>
      </c>
      <c r="J91" s="9">
        <v>4424</v>
      </c>
      <c r="K91" s="9">
        <v>767</v>
      </c>
      <c r="L91" s="9">
        <v>1664</v>
      </c>
      <c r="M91" s="9">
        <f>674+1245+1377</f>
        <v>3296</v>
      </c>
      <c r="N91" s="9">
        <v>747</v>
      </c>
      <c r="O91" s="9">
        <f>4345+4575</f>
        <v>8920</v>
      </c>
      <c r="P91" s="9">
        <f>1295+1373</f>
        <v>2668</v>
      </c>
      <c r="Q91" s="9">
        <f>3271</f>
        <v>3271</v>
      </c>
      <c r="R91" s="9">
        <v>1579</v>
      </c>
      <c r="S91" s="9">
        <v>547</v>
      </c>
      <c r="T91" s="9">
        <f aca="true" t="shared" si="15" ref="T91:T102">SUM(B91:S91)</f>
        <v>38234</v>
      </c>
    </row>
    <row r="92" spans="1:20" s="33" customFormat="1" ht="18" customHeight="1">
      <c r="A92" s="13" t="s">
        <v>144</v>
      </c>
      <c r="B92" s="9">
        <v>440</v>
      </c>
      <c r="C92" s="9">
        <v>588</v>
      </c>
      <c r="D92" s="9">
        <v>288</v>
      </c>
      <c r="E92" s="9">
        <v>1471</v>
      </c>
      <c r="F92" s="9">
        <v>1354</v>
      </c>
      <c r="G92" s="9">
        <f>1174+196</f>
        <v>1370</v>
      </c>
      <c r="H92" s="9">
        <v>3000</v>
      </c>
      <c r="I92" s="9">
        <f>4594</f>
        <v>4594</v>
      </c>
      <c r="J92" s="9">
        <v>2049</v>
      </c>
      <c r="K92" s="9">
        <v>1119</v>
      </c>
      <c r="L92" s="9">
        <v>1602</v>
      </c>
      <c r="M92" s="9">
        <f>743+1347+1582</f>
        <v>3672</v>
      </c>
      <c r="N92" s="9">
        <v>839</v>
      </c>
      <c r="O92" s="9">
        <f>4210+4396</f>
        <v>8606</v>
      </c>
      <c r="P92" s="9">
        <f>1295+1388</f>
        <v>2683</v>
      </c>
      <c r="Q92" s="9">
        <f>3713</f>
        <v>3713</v>
      </c>
      <c r="R92" s="9">
        <v>1502</v>
      </c>
      <c r="S92" s="9">
        <v>458</v>
      </c>
      <c r="T92" s="9">
        <f t="shared" si="15"/>
        <v>39348</v>
      </c>
    </row>
    <row r="93" spans="1:20" s="33" customFormat="1" ht="18" customHeight="1">
      <c r="A93" s="13" t="s">
        <v>145</v>
      </c>
      <c r="B93" s="9">
        <v>410</v>
      </c>
      <c r="C93" s="9">
        <v>1249</v>
      </c>
      <c r="D93" s="9">
        <v>305</v>
      </c>
      <c r="E93" s="9">
        <v>2361</v>
      </c>
      <c r="F93" s="9">
        <v>2165</v>
      </c>
      <c r="G93" s="9">
        <f>1909+174</f>
        <v>2083</v>
      </c>
      <c r="H93" s="9">
        <f>3143</f>
        <v>3143</v>
      </c>
      <c r="I93" s="9">
        <f>3821</f>
        <v>3821</v>
      </c>
      <c r="J93" s="9">
        <v>3642</v>
      </c>
      <c r="K93" s="9">
        <f>85445-84050</f>
        <v>1395</v>
      </c>
      <c r="L93" s="9">
        <v>2456</v>
      </c>
      <c r="M93" s="9">
        <f>784+1683+1809</f>
        <v>4276</v>
      </c>
      <c r="N93" s="9">
        <v>877</v>
      </c>
      <c r="O93" s="9">
        <f>6043+6330</f>
        <v>12373</v>
      </c>
      <c r="P93" s="9">
        <f>1976+2088</f>
        <v>4064</v>
      </c>
      <c r="Q93" s="9">
        <f>4198</f>
        <v>4198</v>
      </c>
      <c r="R93" s="9">
        <v>2072</v>
      </c>
      <c r="S93" s="9">
        <v>796</v>
      </c>
      <c r="T93" s="9">
        <f t="shared" si="15"/>
        <v>51686</v>
      </c>
    </row>
    <row r="94" spans="1:20" s="33" customFormat="1" ht="18" customHeight="1">
      <c r="A94" s="13" t="s">
        <v>146</v>
      </c>
      <c r="B94" s="9">
        <v>411</v>
      </c>
      <c r="C94" s="9">
        <v>1250</v>
      </c>
      <c r="D94" s="9">
        <v>305</v>
      </c>
      <c r="E94" s="9">
        <v>2361</v>
      </c>
      <c r="F94" s="9">
        <v>2165</v>
      </c>
      <c r="G94" s="9">
        <f>1910+174</f>
        <v>2084</v>
      </c>
      <c r="H94" s="9">
        <f>3143</f>
        <v>3143</v>
      </c>
      <c r="I94" s="9">
        <v>3822</v>
      </c>
      <c r="J94" s="9">
        <v>3643</v>
      </c>
      <c r="K94" s="9">
        <v>1396</v>
      </c>
      <c r="L94" s="9">
        <v>2456</v>
      </c>
      <c r="M94" s="9">
        <f>785+1684+1810</f>
        <v>4279</v>
      </c>
      <c r="N94" s="9">
        <v>877</v>
      </c>
      <c r="O94" s="9">
        <f>6043+6330</f>
        <v>12373</v>
      </c>
      <c r="P94" s="9">
        <f>1976+2088</f>
        <v>4064</v>
      </c>
      <c r="Q94" s="9">
        <v>4198</v>
      </c>
      <c r="R94" s="9">
        <v>2073</v>
      </c>
      <c r="S94" s="9">
        <v>796</v>
      </c>
      <c r="T94" s="9">
        <f t="shared" si="15"/>
        <v>51696</v>
      </c>
    </row>
    <row r="95" spans="1:20" s="33" customFormat="1" ht="18" customHeight="1">
      <c r="A95" s="13" t="s">
        <v>147</v>
      </c>
      <c r="B95" s="9">
        <f>98808-98524</f>
        <v>284</v>
      </c>
      <c r="C95" s="9">
        <f>23922-23093</f>
        <v>829</v>
      </c>
      <c r="D95" s="9">
        <f>93743-93539</f>
        <v>204</v>
      </c>
      <c r="E95" s="9">
        <f>47213-45537</f>
        <v>1676</v>
      </c>
      <c r="F95" s="9">
        <f>69195-67655</f>
        <v>1540</v>
      </c>
      <c r="G95" s="9">
        <f>(68800-67546)+(9675-9504)</f>
        <v>1425</v>
      </c>
      <c r="H95" s="9">
        <f>15858-13688</f>
        <v>2170</v>
      </c>
      <c r="I95" s="9">
        <f>85669-82690</f>
        <v>2979</v>
      </c>
      <c r="J95" s="9">
        <f>83927-81336</f>
        <v>2591</v>
      </c>
      <c r="K95" s="9">
        <f>87993-86841</f>
        <v>1152</v>
      </c>
      <c r="L95" s="9">
        <f>65013-63281</f>
        <v>1732</v>
      </c>
      <c r="M95" s="9">
        <f>(45562-45237)+(25233-23884)+(39716-38150)</f>
        <v>3240</v>
      </c>
      <c r="N95" s="9">
        <f>12045-11422</f>
        <v>623</v>
      </c>
      <c r="O95" s="9">
        <f>(19963-14891)+(33103-27851)</f>
        <v>10324</v>
      </c>
      <c r="P95" s="9">
        <f>(29392-27834)+(26514-24942)</f>
        <v>3130</v>
      </c>
      <c r="Q95" s="9">
        <f>93181-90199</f>
        <v>2982</v>
      </c>
      <c r="R95" s="9">
        <f>32683-31207</f>
        <v>1476</v>
      </c>
      <c r="S95" s="9">
        <f>11199-10785</f>
        <v>414</v>
      </c>
      <c r="T95" s="9">
        <f t="shared" si="15"/>
        <v>38771</v>
      </c>
    </row>
    <row r="96" spans="1:20" s="33" customFormat="1" ht="18" customHeight="1">
      <c r="A96" s="13" t="s">
        <v>148</v>
      </c>
      <c r="B96" s="9">
        <f>99059-98808</f>
        <v>251</v>
      </c>
      <c r="C96" s="9">
        <f>24664-23922</f>
        <v>742</v>
      </c>
      <c r="D96" s="9">
        <f>93890-93743</f>
        <v>147</v>
      </c>
      <c r="E96" s="9">
        <f>48646-47213</f>
        <v>1433</v>
      </c>
      <c r="F96" s="9">
        <f>70500-69195</f>
        <v>1305</v>
      </c>
      <c r="G96" s="9">
        <f>(69921-68800)+(9862-9675)</f>
        <v>1308</v>
      </c>
      <c r="H96" s="9">
        <f>(17651-15858)</f>
        <v>1793</v>
      </c>
      <c r="I96" s="9">
        <f>(88499-85669)</f>
        <v>2830</v>
      </c>
      <c r="J96" s="9">
        <f>(86131-83927)</f>
        <v>2204</v>
      </c>
      <c r="K96" s="9">
        <f>(88790-87993)</f>
        <v>797</v>
      </c>
      <c r="L96" s="9">
        <f>(66483-65013)</f>
        <v>1470</v>
      </c>
      <c r="M96" s="9">
        <f>(45792-45562)+(26335-25233)+(41330-39716)</f>
        <v>2946</v>
      </c>
      <c r="N96" s="9">
        <f>12558-12045</f>
        <v>513</v>
      </c>
      <c r="O96" s="9">
        <f>(24335-19963)+(37641-33103)</f>
        <v>8910</v>
      </c>
      <c r="P96" s="9">
        <f>30842-29392+27959-26514</f>
        <v>2895</v>
      </c>
      <c r="Q96" s="9">
        <f>95888-93181</f>
        <v>2707</v>
      </c>
      <c r="R96" s="9">
        <f>33993-32683</f>
        <v>1310</v>
      </c>
      <c r="S96" s="9">
        <f>11515-11199</f>
        <v>316</v>
      </c>
      <c r="T96" s="9">
        <f t="shared" si="15"/>
        <v>33877</v>
      </c>
    </row>
    <row r="97" spans="1:20" s="33" customFormat="1" ht="18" customHeight="1">
      <c r="A97" s="13" t="s">
        <v>149</v>
      </c>
      <c r="B97" s="9">
        <f>99219-99059</f>
        <v>160</v>
      </c>
      <c r="C97" s="9">
        <f>25155-24664</f>
        <v>491</v>
      </c>
      <c r="D97" s="9">
        <f>94040-93890</f>
        <v>150</v>
      </c>
      <c r="E97" s="9">
        <f>49321-48646</f>
        <v>675</v>
      </c>
      <c r="F97" s="9">
        <f>70882-70500</f>
        <v>382</v>
      </c>
      <c r="G97" s="9">
        <f>70239-69921+10033-9862</f>
        <v>489</v>
      </c>
      <c r="H97" s="9">
        <f>17978-17651</f>
        <v>327</v>
      </c>
      <c r="I97" s="9">
        <f>90404-88499</f>
        <v>1905</v>
      </c>
      <c r="J97" s="9">
        <f>87602-86131</f>
        <v>1471</v>
      </c>
      <c r="K97" s="9">
        <f>89598-88790</f>
        <v>808</v>
      </c>
      <c r="L97" s="9">
        <f>66899-66483</f>
        <v>416</v>
      </c>
      <c r="M97" s="9">
        <f>45962-45792+26857-26335+42505-41330</f>
        <v>1867</v>
      </c>
      <c r="N97" s="9">
        <f>12906-12558</f>
        <v>348</v>
      </c>
      <c r="O97" s="9">
        <f>26776-24335+40178-37641</f>
        <v>4978</v>
      </c>
      <c r="P97" s="9">
        <f>(31485-30842)+(28627-27959)</f>
        <v>1311</v>
      </c>
      <c r="Q97" s="9">
        <f>97875-95888</f>
        <v>1987</v>
      </c>
      <c r="R97" s="9">
        <f>34661-33993</f>
        <v>668</v>
      </c>
      <c r="S97" s="9">
        <f>11647-11515</f>
        <v>132</v>
      </c>
      <c r="T97" s="9">
        <f t="shared" si="15"/>
        <v>18565</v>
      </c>
    </row>
    <row r="98" spans="1:20" s="33" customFormat="1" ht="18" customHeight="1">
      <c r="A98" s="13" t="s">
        <v>150</v>
      </c>
      <c r="B98" s="9">
        <v>408</v>
      </c>
      <c r="C98" s="9">
        <v>1174</v>
      </c>
      <c r="D98" s="9">
        <v>245</v>
      </c>
      <c r="E98" s="9">
        <v>1989</v>
      </c>
      <c r="F98" s="9">
        <v>1099</v>
      </c>
      <c r="G98" s="9">
        <f>400+200</f>
        <v>600</v>
      </c>
      <c r="H98" s="9">
        <v>1948</v>
      </c>
      <c r="I98" s="9">
        <v>4234</v>
      </c>
      <c r="J98" s="9">
        <v>3414</v>
      </c>
      <c r="K98" s="9">
        <v>923</v>
      </c>
      <c r="L98" s="9">
        <v>1275</v>
      </c>
      <c r="M98" s="9">
        <f>594+1673+2381</f>
        <v>4648</v>
      </c>
      <c r="N98" s="9">
        <v>817</v>
      </c>
      <c r="O98" s="9">
        <f>4071+4654</f>
        <v>8725</v>
      </c>
      <c r="P98" s="9">
        <f>1803+1809</f>
        <v>3612</v>
      </c>
      <c r="Q98" s="9">
        <v>2000</v>
      </c>
      <c r="R98" s="9">
        <v>1254</v>
      </c>
      <c r="S98" s="9">
        <v>459</v>
      </c>
      <c r="T98" s="9">
        <f t="shared" si="15"/>
        <v>38824</v>
      </c>
    </row>
    <row r="99" spans="1:20" s="33" customFormat="1" ht="18" customHeight="1">
      <c r="A99" s="13" t="s">
        <v>151</v>
      </c>
      <c r="B99" s="9">
        <f>99875-99627</f>
        <v>248</v>
      </c>
      <c r="C99" s="9">
        <f>27005-26329</f>
        <v>676</v>
      </c>
      <c r="D99" s="9">
        <f>94497-94285</f>
        <v>212</v>
      </c>
      <c r="E99" s="9">
        <f>52795-51310</f>
        <v>1485</v>
      </c>
      <c r="F99" s="33">
        <f>73023-71981</f>
        <v>1042</v>
      </c>
      <c r="G99" s="9">
        <f>72474-70639+10574-10233</f>
        <v>2176</v>
      </c>
      <c r="H99" s="9">
        <f>21723-19926</f>
        <v>1797</v>
      </c>
      <c r="I99" s="9">
        <f>97044-94638</f>
        <v>2406</v>
      </c>
      <c r="J99" s="49">
        <f>93075-91016</f>
        <v>2059</v>
      </c>
      <c r="K99" s="9">
        <f>91303-90521</f>
        <v>782</v>
      </c>
      <c r="L99" s="9">
        <f>69420-68174</f>
        <v>1246</v>
      </c>
      <c r="M99" s="9">
        <f>47013-46556+29640-28530+46299-44886</f>
        <v>2980</v>
      </c>
      <c r="N99" s="9">
        <f>14217-13723</f>
        <v>494</v>
      </c>
      <c r="O99" s="9">
        <f>34046-30847+47708-44832</f>
        <v>6075</v>
      </c>
      <c r="P99" s="9">
        <f>34583-33288+31725-30436</f>
        <v>2584</v>
      </c>
      <c r="Q99" s="9">
        <f>102392-99875</f>
        <v>2517</v>
      </c>
      <c r="R99" s="9">
        <f>36739-35915</f>
        <v>824</v>
      </c>
      <c r="S99" s="9">
        <f>12490-12106</f>
        <v>384</v>
      </c>
      <c r="T99" s="9">
        <f t="shared" si="15"/>
        <v>29987</v>
      </c>
    </row>
    <row r="100" spans="1:20" s="33" customFormat="1" ht="18" customHeight="1">
      <c r="A100" s="13" t="s">
        <v>152</v>
      </c>
      <c r="B100" s="9">
        <f>100206-99875</f>
        <v>331</v>
      </c>
      <c r="C100" s="9">
        <f>27926-27005</f>
        <v>921</v>
      </c>
      <c r="D100" s="9">
        <f>94708-94497</f>
        <v>211</v>
      </c>
      <c r="E100" s="9">
        <f>54851-52795</f>
        <v>2056</v>
      </c>
      <c r="F100" s="9">
        <f>74705-73023</f>
        <v>1682</v>
      </c>
      <c r="G100" s="9">
        <f>74125-72474+10737-10574</f>
        <v>1814</v>
      </c>
      <c r="H100" s="9">
        <f>24254-21723</f>
        <v>2531</v>
      </c>
      <c r="I100" s="9">
        <f>100042-97044</f>
        <v>2998</v>
      </c>
      <c r="J100" s="49">
        <f>95868-93075</f>
        <v>2793</v>
      </c>
      <c r="K100" s="9">
        <f>92630-91303</f>
        <v>1327</v>
      </c>
      <c r="L100" s="9">
        <f>71258-69420</f>
        <v>1838</v>
      </c>
      <c r="M100" s="9">
        <f>47640-47013+30987-29640+47893-46299</f>
        <v>3568</v>
      </c>
      <c r="N100" s="9">
        <f>14939-14217</f>
        <v>722</v>
      </c>
      <c r="O100" s="9">
        <f>38365-34046+52309-47708</f>
        <v>8920</v>
      </c>
      <c r="P100" s="9">
        <f>36152-34583+33342-31725</f>
        <v>3186</v>
      </c>
      <c r="Q100" s="9">
        <f>105614-102392</f>
        <v>3222</v>
      </c>
      <c r="R100" s="9">
        <f>37971-36739</f>
        <v>1232</v>
      </c>
      <c r="S100" s="9">
        <f>13136-12490</f>
        <v>646</v>
      </c>
      <c r="T100" s="9">
        <f t="shared" si="15"/>
        <v>39998</v>
      </c>
    </row>
    <row r="101" spans="1:20" s="33" customFormat="1" ht="18" customHeight="1">
      <c r="A101" s="13" t="s">
        <v>153</v>
      </c>
      <c r="B101" s="9">
        <f>100663-100206</f>
        <v>457</v>
      </c>
      <c r="C101" s="9">
        <f>29073-27926</f>
        <v>1147</v>
      </c>
      <c r="D101" s="9">
        <f>95047-94708</f>
        <v>339</v>
      </c>
      <c r="E101" s="9">
        <f>57326-54851</f>
        <v>2475</v>
      </c>
      <c r="F101" s="9">
        <f>76992-74705</f>
        <v>2287</v>
      </c>
      <c r="G101" s="9">
        <f>2209-737+171</f>
        <v>1643</v>
      </c>
      <c r="H101" s="9">
        <f>27342-24254</f>
        <v>3088</v>
      </c>
      <c r="I101" s="9">
        <f>3660-42</f>
        <v>3618</v>
      </c>
      <c r="J101" s="9">
        <f>99534-95868</f>
        <v>3666</v>
      </c>
      <c r="K101" s="9">
        <f>94179-92630</f>
        <v>1549</v>
      </c>
      <c r="L101" s="9">
        <f>73443-71258</f>
        <v>2185</v>
      </c>
      <c r="M101" s="9">
        <f>48402-47640+32518-30987+49710-47893</f>
        <v>4110</v>
      </c>
      <c r="N101" s="9">
        <f>15861-14939</f>
        <v>922</v>
      </c>
      <c r="O101" s="9">
        <f>45541-38365+59834-52309</f>
        <v>14701</v>
      </c>
      <c r="P101" s="9">
        <f>38141-36152+35488-33342</f>
        <v>4135</v>
      </c>
      <c r="Q101" s="9">
        <v>358</v>
      </c>
      <c r="R101" s="9">
        <f>39548-37971</f>
        <v>1577</v>
      </c>
      <c r="S101" s="9">
        <f>14110-13136</f>
        <v>974</v>
      </c>
      <c r="T101" s="9">
        <f t="shared" si="15"/>
        <v>49231</v>
      </c>
    </row>
    <row r="102" spans="1:20" s="33" customFormat="1" ht="18" customHeight="1">
      <c r="A102" s="13" t="s">
        <v>154</v>
      </c>
      <c r="B102" s="9">
        <f>1135-663</f>
        <v>472</v>
      </c>
      <c r="C102" s="9">
        <f>30284-29073</f>
        <v>1211</v>
      </c>
      <c r="D102" s="9">
        <f>95414-95047</f>
        <v>367</v>
      </c>
      <c r="E102" s="9">
        <f>59632-57326</f>
        <v>2306</v>
      </c>
      <c r="F102" s="9">
        <f>78993-76992</f>
        <v>2001</v>
      </c>
      <c r="G102" s="9">
        <f>2312-2209</f>
        <v>103</v>
      </c>
      <c r="H102" s="9">
        <f>30688-27342</f>
        <v>3346</v>
      </c>
      <c r="I102" s="9">
        <f>6742-3660</f>
        <v>3082</v>
      </c>
      <c r="J102" s="9">
        <f>103679-99534</f>
        <v>4145</v>
      </c>
      <c r="K102" s="9">
        <f>95520-94179</f>
        <v>1341</v>
      </c>
      <c r="L102" s="9">
        <f>1062</f>
        <v>1062</v>
      </c>
      <c r="M102" s="9">
        <f>49501-48402+33582-32518+51259-49710</f>
        <v>3712</v>
      </c>
      <c r="N102" s="9">
        <f>16869-15861</f>
        <v>1008</v>
      </c>
      <c r="O102" s="9">
        <f>52534-45541+67011-59834</f>
        <v>14170</v>
      </c>
      <c r="P102" s="9">
        <f>39845-38141+37371-35488</f>
        <v>3587</v>
      </c>
      <c r="Q102" s="9">
        <f>4551-358</f>
        <v>4193</v>
      </c>
      <c r="R102" s="9">
        <f>40934-39548</f>
        <v>1386</v>
      </c>
      <c r="S102" s="9">
        <f>14980-14110</f>
        <v>870</v>
      </c>
      <c r="T102" s="9">
        <f t="shared" si="15"/>
        <v>48362</v>
      </c>
    </row>
    <row r="103" spans="1:20" s="33" customFormat="1" ht="18" customHeight="1">
      <c r="A103" s="15" t="s">
        <v>74</v>
      </c>
      <c r="B103" s="14">
        <f aca="true" t="shared" si="16" ref="B103:T103">SUM(B91:B102)</f>
        <v>4242</v>
      </c>
      <c r="C103" s="14">
        <f t="shared" si="16"/>
        <v>11124</v>
      </c>
      <c r="D103" s="14">
        <f t="shared" si="16"/>
        <v>3053</v>
      </c>
      <c r="E103" s="14">
        <f t="shared" si="16"/>
        <v>22108</v>
      </c>
      <c r="F103" s="14">
        <f t="shared" si="16"/>
        <v>18581</v>
      </c>
      <c r="G103" s="14">
        <f t="shared" si="16"/>
        <v>16593</v>
      </c>
      <c r="H103" s="14">
        <f t="shared" si="16"/>
        <v>28932</v>
      </c>
      <c r="I103" s="14">
        <f t="shared" si="16"/>
        <v>37621</v>
      </c>
      <c r="J103" s="14">
        <f t="shared" si="16"/>
        <v>36101</v>
      </c>
      <c r="K103" s="14">
        <f t="shared" si="16"/>
        <v>13356</v>
      </c>
      <c r="L103" s="14">
        <f t="shared" si="16"/>
        <v>19402</v>
      </c>
      <c r="M103" s="14">
        <f t="shared" si="16"/>
        <v>42594</v>
      </c>
      <c r="N103" s="14">
        <f t="shared" si="16"/>
        <v>8787</v>
      </c>
      <c r="O103" s="14">
        <f t="shared" si="16"/>
        <v>119075</v>
      </c>
      <c r="P103" s="14">
        <f t="shared" si="16"/>
        <v>37919</v>
      </c>
      <c r="Q103" s="14">
        <f t="shared" si="16"/>
        <v>35346</v>
      </c>
      <c r="R103" s="14">
        <f t="shared" si="16"/>
        <v>16953</v>
      </c>
      <c r="S103" s="14">
        <f t="shared" si="16"/>
        <v>6792</v>
      </c>
      <c r="T103" s="14">
        <f t="shared" si="16"/>
        <v>478579</v>
      </c>
    </row>
    <row r="104" spans="1:20" s="33" customFormat="1" ht="18" customHeight="1">
      <c r="A104" s="36" t="s">
        <v>71</v>
      </c>
      <c r="B104" s="35">
        <f aca="true" t="shared" si="17" ref="B104:T104">B103/12</f>
        <v>353.5</v>
      </c>
      <c r="C104" s="35">
        <f t="shared" si="17"/>
        <v>927</v>
      </c>
      <c r="D104" s="35">
        <f t="shared" si="17"/>
        <v>254.41666666666666</v>
      </c>
      <c r="E104" s="35">
        <f t="shared" si="17"/>
        <v>1842.3333333333333</v>
      </c>
      <c r="F104" s="35">
        <f t="shared" si="17"/>
        <v>1548.4166666666667</v>
      </c>
      <c r="G104" s="35">
        <f t="shared" si="17"/>
        <v>1382.75</v>
      </c>
      <c r="H104" s="35">
        <f t="shared" si="17"/>
        <v>2411</v>
      </c>
      <c r="I104" s="35">
        <f t="shared" si="17"/>
        <v>3135.0833333333335</v>
      </c>
      <c r="J104" s="35">
        <f t="shared" si="17"/>
        <v>3008.4166666666665</v>
      </c>
      <c r="K104" s="35">
        <f t="shared" si="17"/>
        <v>1113</v>
      </c>
      <c r="L104" s="35">
        <f t="shared" si="17"/>
        <v>1616.8333333333333</v>
      </c>
      <c r="M104" s="35">
        <f t="shared" si="17"/>
        <v>3549.5</v>
      </c>
      <c r="N104" s="35">
        <f t="shared" si="17"/>
        <v>732.25</v>
      </c>
      <c r="O104" s="35">
        <f t="shared" si="17"/>
        <v>9922.916666666666</v>
      </c>
      <c r="P104" s="35">
        <f t="shared" si="17"/>
        <v>3159.9166666666665</v>
      </c>
      <c r="Q104" s="35">
        <f t="shared" si="17"/>
        <v>2945.5</v>
      </c>
      <c r="R104" s="35">
        <f t="shared" si="17"/>
        <v>1412.75</v>
      </c>
      <c r="S104" s="35">
        <f t="shared" si="17"/>
        <v>566</v>
      </c>
      <c r="T104" s="35">
        <f t="shared" si="17"/>
        <v>39881.583333333336</v>
      </c>
    </row>
    <row r="105" spans="1:20" s="33" customFormat="1" ht="18" customHeight="1">
      <c r="A105" s="27" t="s">
        <v>135</v>
      </c>
      <c r="B105" s="24">
        <f>B104/82</f>
        <v>4.310975609756097</v>
      </c>
      <c r="C105" s="25">
        <f>C104/129</f>
        <v>7.186046511627907</v>
      </c>
      <c r="D105" s="25">
        <f>D104/46</f>
        <v>5.530797101449275</v>
      </c>
      <c r="E105" s="25">
        <f>E104/199</f>
        <v>9.257956448911223</v>
      </c>
      <c r="F105" s="25">
        <f>F104/300</f>
        <v>5.161388888888889</v>
      </c>
      <c r="G105" s="25">
        <f>G104/361</f>
        <v>3.830332409972299</v>
      </c>
      <c r="H105" s="25">
        <f>H104/371</f>
        <v>6.498652291105121</v>
      </c>
      <c r="I105" s="25">
        <f>I104/314</f>
        <v>9.984341825902336</v>
      </c>
      <c r="J105" s="25">
        <f>J104/(101+120+122)</f>
        <v>8.77089407191448</v>
      </c>
      <c r="K105" s="25">
        <f>K104/297</f>
        <v>3.7474747474747474</v>
      </c>
      <c r="L105" s="24">
        <f>L104/285</f>
        <v>5.673099415204678</v>
      </c>
      <c r="M105" s="24">
        <f>M104/(365+80)</f>
        <v>7.976404494382022</v>
      </c>
      <c r="N105" s="24">
        <f>N104/128</f>
        <v>5.720703125</v>
      </c>
      <c r="O105" s="24">
        <f>O104/750</f>
        <v>13.230555555555554</v>
      </c>
      <c r="P105" s="24">
        <f>P104/328</f>
        <v>9.633892276422763</v>
      </c>
      <c r="Q105" s="24">
        <f>Q104/326</f>
        <v>9.035276073619633</v>
      </c>
      <c r="R105" s="24">
        <f>R104/192</f>
        <v>7.358072916666667</v>
      </c>
      <c r="S105" s="24">
        <f>S104/168</f>
        <v>3.369047619047619</v>
      </c>
      <c r="T105" s="24">
        <f>T104/5086</f>
        <v>7.8414438327434794</v>
      </c>
    </row>
    <row r="106" spans="1:20" s="33" customFormat="1" ht="18" customHeight="1">
      <c r="A106" s="27" t="s">
        <v>141</v>
      </c>
      <c r="B106" s="24">
        <f aca="true" t="shared" si="18" ref="B106:T106">B105*12/2.5</f>
        <v>20.692682926829267</v>
      </c>
      <c r="C106" s="24">
        <f t="shared" si="18"/>
        <v>34.49302325581395</v>
      </c>
      <c r="D106" s="24">
        <f t="shared" si="18"/>
        <v>26.547826086956526</v>
      </c>
      <c r="E106" s="24">
        <f t="shared" si="18"/>
        <v>44.43819095477387</v>
      </c>
      <c r="F106" s="24">
        <f t="shared" si="18"/>
        <v>24.77466666666667</v>
      </c>
      <c r="G106" s="24">
        <f t="shared" si="18"/>
        <v>18.385595567867036</v>
      </c>
      <c r="H106" s="24">
        <f t="shared" si="18"/>
        <v>31.193530997304585</v>
      </c>
      <c r="I106" s="24">
        <f t="shared" si="18"/>
        <v>47.924840764331215</v>
      </c>
      <c r="J106" s="24">
        <f t="shared" si="18"/>
        <v>42.100291545189506</v>
      </c>
      <c r="K106" s="24">
        <f t="shared" si="18"/>
        <v>17.98787878787879</v>
      </c>
      <c r="L106" s="24">
        <f t="shared" si="18"/>
        <v>27.230877192982454</v>
      </c>
      <c r="M106" s="24">
        <f t="shared" si="18"/>
        <v>38.2867415730337</v>
      </c>
      <c r="N106" s="24">
        <f t="shared" si="18"/>
        <v>27.459375</v>
      </c>
      <c r="O106" s="24">
        <f t="shared" si="18"/>
        <v>63.50666666666666</v>
      </c>
      <c r="P106" s="24">
        <f t="shared" si="18"/>
        <v>46.24268292682926</v>
      </c>
      <c r="Q106" s="24">
        <f t="shared" si="18"/>
        <v>43.369325153374234</v>
      </c>
      <c r="R106" s="24">
        <f t="shared" si="18"/>
        <v>35.31875</v>
      </c>
      <c r="S106" s="24">
        <f t="shared" si="18"/>
        <v>16.17142857142857</v>
      </c>
      <c r="T106" s="24">
        <f t="shared" si="18"/>
        <v>37.6389303971687</v>
      </c>
    </row>
    <row r="107" ht="18" customHeight="1"/>
    <row r="108" ht="18" customHeight="1"/>
    <row r="109" ht="18" customHeight="1"/>
    <row r="110" spans="1:20" ht="18" customHeight="1">
      <c r="A110" s="9" t="s">
        <v>18</v>
      </c>
      <c r="B110" s="9" t="s">
        <v>0</v>
      </c>
      <c r="C110" s="9" t="s">
        <v>1</v>
      </c>
      <c r="D110" s="9" t="s">
        <v>2</v>
      </c>
      <c r="E110" s="9" t="s">
        <v>3</v>
      </c>
      <c r="F110" s="9" t="s">
        <v>4</v>
      </c>
      <c r="G110" s="9" t="s">
        <v>5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11</v>
      </c>
      <c r="N110" s="9" t="s">
        <v>12</v>
      </c>
      <c r="O110" s="9" t="s">
        <v>13</v>
      </c>
      <c r="P110" s="9" t="s">
        <v>14</v>
      </c>
      <c r="Q110" s="9" t="s">
        <v>15</v>
      </c>
      <c r="R110" s="9" t="s">
        <v>16</v>
      </c>
      <c r="S110" s="9" t="s">
        <v>17</v>
      </c>
      <c r="T110" s="10" t="s">
        <v>134</v>
      </c>
    </row>
    <row r="111" spans="1:20" ht="18" customHeight="1">
      <c r="A111" s="13" t="s">
        <v>179</v>
      </c>
      <c r="B111" s="9">
        <f>1400-1135</f>
        <v>265</v>
      </c>
      <c r="C111" s="9">
        <f>30921-30284</f>
        <v>637</v>
      </c>
      <c r="D111" s="9">
        <f>95645-95414</f>
        <v>231</v>
      </c>
      <c r="E111" s="9">
        <f>60681-59632</f>
        <v>1049</v>
      </c>
      <c r="F111" s="9">
        <f>88046-78993</f>
        <v>9053</v>
      </c>
      <c r="G111" s="9">
        <f>2415-2312</f>
        <v>103</v>
      </c>
      <c r="H111" s="9">
        <f>32470-30688</f>
        <v>1782</v>
      </c>
      <c r="I111" s="9">
        <f>8500-6742</f>
        <v>1758</v>
      </c>
      <c r="J111" s="9">
        <f>6236-3679</f>
        <v>2557</v>
      </c>
      <c r="K111" s="9">
        <f>96004-95520</f>
        <v>484</v>
      </c>
      <c r="L111" s="9">
        <f>1917-1062</f>
        <v>855</v>
      </c>
      <c r="M111" s="9">
        <f>49966-49501+34089-33582+52504-51259</f>
        <v>2217</v>
      </c>
      <c r="N111" s="9">
        <f>17423-16869</f>
        <v>554</v>
      </c>
      <c r="O111" s="9">
        <f>54980-52534+69876-67011</f>
        <v>5311</v>
      </c>
      <c r="P111" s="9">
        <f>40765-39845+38372-37371</f>
        <v>1921</v>
      </c>
      <c r="Q111" s="9">
        <f>7116-4551</f>
        <v>2565</v>
      </c>
      <c r="R111" s="9">
        <f>41518-40934</f>
        <v>584</v>
      </c>
      <c r="S111" s="9">
        <f>15318-14980</f>
        <v>338</v>
      </c>
      <c r="T111" s="9">
        <f aca="true" t="shared" si="19" ref="T111:T122">SUM(B111:S111)</f>
        <v>32264</v>
      </c>
    </row>
    <row r="112" spans="1:20" ht="18" customHeight="1">
      <c r="A112" s="13" t="s">
        <v>180</v>
      </c>
      <c r="B112" s="9">
        <f>1829-1400</f>
        <v>429</v>
      </c>
      <c r="C112" s="9">
        <f>31905-30920</f>
        <v>985</v>
      </c>
      <c r="D112" s="9">
        <v>0</v>
      </c>
      <c r="E112" s="9">
        <f>62479-60681</f>
        <v>1798</v>
      </c>
      <c r="F112" s="9">
        <f>102087-88046</f>
        <v>14041</v>
      </c>
      <c r="G112" s="9">
        <f>4172-2415</f>
        <v>1757</v>
      </c>
      <c r="H112" s="9">
        <f>35504-32470</f>
        <v>3034</v>
      </c>
      <c r="I112" s="9">
        <f>12893-8500</f>
        <v>4393</v>
      </c>
      <c r="J112" s="9">
        <f>9956-6236</f>
        <v>3720</v>
      </c>
      <c r="K112" s="9">
        <f>97220-96004</f>
        <v>1216</v>
      </c>
      <c r="L112" s="9">
        <f>4224-1917</f>
        <v>2307</v>
      </c>
      <c r="M112" s="9">
        <f>50963-49966+35068-34089+53699-52504</f>
        <v>3171</v>
      </c>
      <c r="N112" s="9">
        <f>18351-17423</f>
        <v>928</v>
      </c>
      <c r="O112" s="9">
        <f>61712-54980+77058-69876</f>
        <v>13914</v>
      </c>
      <c r="P112" s="9">
        <f>42760-40765+40490-38372</f>
        <v>4113</v>
      </c>
      <c r="Q112" s="9">
        <f>10222-7116</f>
        <v>3106</v>
      </c>
      <c r="R112" s="9">
        <f>43157-41518</f>
        <v>1639</v>
      </c>
      <c r="S112" s="9">
        <f>16158-15318</f>
        <v>840</v>
      </c>
      <c r="T112" s="9">
        <f t="shared" si="19"/>
        <v>61391</v>
      </c>
    </row>
    <row r="113" spans="1:20" ht="18" customHeight="1">
      <c r="A113" s="13" t="s">
        <v>181</v>
      </c>
      <c r="B113" s="9">
        <f>2057-1829</f>
        <v>228</v>
      </c>
      <c r="C113" s="9">
        <f>32330-31905</f>
        <v>425</v>
      </c>
      <c r="D113" s="9">
        <f>96210-95645</f>
        <v>565</v>
      </c>
      <c r="E113" s="9">
        <f>63256-62479</f>
        <v>777</v>
      </c>
      <c r="F113" s="9">
        <f>3075-2087</f>
        <v>988</v>
      </c>
      <c r="G113" s="9">
        <f>4897-4172</f>
        <v>725</v>
      </c>
      <c r="H113" s="9">
        <f>36871-35504</f>
        <v>1367</v>
      </c>
      <c r="I113" s="9">
        <f>4350-2893</f>
        <v>1457</v>
      </c>
      <c r="J113" s="9">
        <f>11663-9956</f>
        <v>1707</v>
      </c>
      <c r="K113" s="9">
        <f>97771-97220</f>
        <v>551</v>
      </c>
      <c r="L113" s="9">
        <f>5190-4224</f>
        <v>966</v>
      </c>
      <c r="M113" s="9">
        <f>51387-50963+35482-35068+54402-53699</f>
        <v>1541</v>
      </c>
      <c r="N113" s="9">
        <f>18750-18351</f>
        <v>399</v>
      </c>
      <c r="O113" s="9">
        <f>64751-61712+80319-77058</f>
        <v>6300</v>
      </c>
      <c r="P113" s="9">
        <f>43728-42760+41503-40490</f>
        <v>1981</v>
      </c>
      <c r="Q113" s="9">
        <f>13112-10222</f>
        <v>2890</v>
      </c>
      <c r="R113" s="9">
        <f>43853-43157</f>
        <v>696</v>
      </c>
      <c r="S113" s="9">
        <f>16486-16158</f>
        <v>328</v>
      </c>
      <c r="T113" s="9">
        <f t="shared" si="19"/>
        <v>23891</v>
      </c>
    </row>
    <row r="114" spans="1:20" ht="18" customHeight="1">
      <c r="A114" s="13" t="s">
        <v>182</v>
      </c>
      <c r="B114" s="9">
        <f>2225-2057</f>
        <v>168</v>
      </c>
      <c r="C114" s="9">
        <f>32653-32330</f>
        <v>323</v>
      </c>
      <c r="D114" s="9">
        <f>96210-96210</f>
        <v>0</v>
      </c>
      <c r="E114" s="9">
        <f>63865-63256</f>
        <v>609</v>
      </c>
      <c r="F114" s="9">
        <f>3920-3075</f>
        <v>845</v>
      </c>
      <c r="G114" s="9">
        <f>5560-4897</f>
        <v>663</v>
      </c>
      <c r="H114" s="9">
        <f>37935-36871</f>
        <v>1064</v>
      </c>
      <c r="I114" s="9">
        <f>5552-4350</f>
        <v>1202</v>
      </c>
      <c r="J114" s="9">
        <f>12891-11663</f>
        <v>1228</v>
      </c>
      <c r="K114" s="9">
        <f>98327-97771</f>
        <v>556</v>
      </c>
      <c r="L114" s="9">
        <f>6804-5190</f>
        <v>1614</v>
      </c>
      <c r="M114" s="9">
        <f>51729-51387+35852-35482+54998-54402</f>
        <v>1308</v>
      </c>
      <c r="N114" s="9">
        <f>19049-18750</f>
        <v>299</v>
      </c>
      <c r="O114" s="9">
        <f>67436-64751+83196-80319</f>
        <v>5562</v>
      </c>
      <c r="P114" s="9">
        <f>44595-43728+42392-41503</f>
        <v>1756</v>
      </c>
      <c r="Q114" s="9">
        <f>14574-13112</f>
        <v>1462</v>
      </c>
      <c r="R114" s="9">
        <f>44439-43853</f>
        <v>586</v>
      </c>
      <c r="S114" s="9">
        <f>16780-16486</f>
        <v>294</v>
      </c>
      <c r="T114" s="9">
        <f t="shared" si="19"/>
        <v>19539</v>
      </c>
    </row>
    <row r="115" spans="1:20" ht="18" customHeight="1">
      <c r="A115" s="13" t="s">
        <v>183</v>
      </c>
      <c r="B115" s="9">
        <f>2549-2225</f>
        <v>324</v>
      </c>
      <c r="C115" s="9">
        <f>33261-32653</f>
        <v>608</v>
      </c>
      <c r="D115" s="9">
        <f>96609-96210</f>
        <v>399</v>
      </c>
      <c r="E115" s="9">
        <f>64935-63865</f>
        <v>1070</v>
      </c>
      <c r="F115" s="9">
        <f>4525-3920</f>
        <v>605</v>
      </c>
      <c r="G115" s="9">
        <f>6700-5560</f>
        <v>1140</v>
      </c>
      <c r="H115" s="9">
        <f>39900-37935</f>
        <v>1965</v>
      </c>
      <c r="I115" s="9">
        <f>7953-5552</f>
        <v>2401</v>
      </c>
      <c r="J115" s="9">
        <f>15128-12891</f>
        <v>2237</v>
      </c>
      <c r="K115" s="9">
        <f>99128-98327</f>
        <v>801</v>
      </c>
      <c r="L115" s="9">
        <f>7702-6804</f>
        <v>898</v>
      </c>
      <c r="M115" s="9">
        <f>52252-51729+36509-35852+56276-54998</f>
        <v>2458</v>
      </c>
      <c r="N115" s="9">
        <f>19611-19049</f>
        <v>562</v>
      </c>
      <c r="O115" s="9">
        <f>72417-67436+88542-83196</f>
        <v>10327</v>
      </c>
      <c r="P115" s="9">
        <f>46303-44595+44120-42392</f>
        <v>3436</v>
      </c>
      <c r="Q115" s="9">
        <f>17450-14574</f>
        <v>2876</v>
      </c>
      <c r="R115" s="9">
        <f>45564-44439</f>
        <v>1125</v>
      </c>
      <c r="S115" s="9">
        <f>17305-16780</f>
        <v>525</v>
      </c>
      <c r="T115" s="9">
        <f t="shared" si="19"/>
        <v>33757</v>
      </c>
    </row>
    <row r="116" spans="1:20" ht="18" customHeight="1">
      <c r="A116" s="13" t="s">
        <v>184</v>
      </c>
      <c r="B116" s="9">
        <f>2835-2549</f>
        <v>286</v>
      </c>
      <c r="C116" s="9">
        <f>33375-33261</f>
        <v>114</v>
      </c>
      <c r="D116" s="9">
        <f>96838-96609</f>
        <v>229</v>
      </c>
      <c r="E116" s="9">
        <f>66002-64935</f>
        <v>1067</v>
      </c>
      <c r="F116" s="9">
        <f>6903-4525</f>
        <v>2378</v>
      </c>
      <c r="G116" s="9">
        <f>7585-6700</f>
        <v>885</v>
      </c>
      <c r="H116" s="9">
        <f>41528-39900</f>
        <v>1628</v>
      </c>
      <c r="I116" s="9">
        <f>10087-7953</f>
        <v>2134</v>
      </c>
      <c r="J116" s="9">
        <f>17010-15128</f>
        <v>1882</v>
      </c>
      <c r="K116" s="9">
        <f>99784-99128</f>
        <v>656</v>
      </c>
      <c r="L116" s="9">
        <f>9079-7702</f>
        <v>1377</v>
      </c>
      <c r="M116" s="9">
        <f>52463-52252+37017-36509+57458-56276</f>
        <v>1901</v>
      </c>
      <c r="N116" s="9">
        <f>20045-19611</f>
        <v>434</v>
      </c>
      <c r="O116" s="9">
        <f>75387-72417+91739-88542</f>
        <v>6167</v>
      </c>
      <c r="P116" s="9">
        <f>47827-46303+45643-44120</f>
        <v>3047</v>
      </c>
      <c r="Q116" s="9">
        <f>19856-17450</f>
        <v>2406</v>
      </c>
      <c r="R116" s="9">
        <f>46477-45564</f>
        <v>913</v>
      </c>
      <c r="S116" s="9">
        <f>17695-17305</f>
        <v>390</v>
      </c>
      <c r="T116" s="9">
        <f t="shared" si="19"/>
        <v>27894</v>
      </c>
    </row>
    <row r="117" spans="1:20" ht="18" customHeight="1">
      <c r="A117" s="13" t="s">
        <v>185</v>
      </c>
      <c r="B117" s="9">
        <f>2842-2835</f>
        <v>7</v>
      </c>
      <c r="C117" s="9">
        <f>33781-33375</f>
        <v>406</v>
      </c>
      <c r="D117" s="9">
        <f>96978-96838</f>
        <v>140</v>
      </c>
      <c r="E117" s="9">
        <f>66522-66002</f>
        <v>520</v>
      </c>
      <c r="F117" s="9">
        <f>7140-6903</f>
        <v>237</v>
      </c>
      <c r="G117" s="9">
        <f>7991-7585</f>
        <v>406</v>
      </c>
      <c r="H117" s="9">
        <f>42736-41528</f>
        <v>1208</v>
      </c>
      <c r="I117" s="9">
        <f>11491-10087</f>
        <v>1404</v>
      </c>
      <c r="J117" s="9">
        <f>18463-17010</f>
        <v>1453</v>
      </c>
      <c r="K117" s="9">
        <f>100075-99784</f>
        <v>291</v>
      </c>
      <c r="L117" s="9">
        <f>9545-9079</f>
        <v>466</v>
      </c>
      <c r="M117" s="9">
        <v>0</v>
      </c>
      <c r="N117" s="9">
        <f>20346-20045</f>
        <v>301</v>
      </c>
      <c r="O117" s="9">
        <f>76741-75387+93138-91739</f>
        <v>2753</v>
      </c>
      <c r="P117" s="9">
        <f>48452-47827+46349-45643</f>
        <v>1331</v>
      </c>
      <c r="Q117" s="9">
        <f>21572-19856</f>
        <v>1716</v>
      </c>
      <c r="R117" s="9">
        <f>46964-46477</f>
        <v>487</v>
      </c>
      <c r="S117" s="9">
        <f>17825-17695</f>
        <v>130</v>
      </c>
      <c r="T117" s="9">
        <f t="shared" si="19"/>
        <v>13256</v>
      </c>
    </row>
    <row r="118" spans="1:20" ht="18" customHeight="1">
      <c r="A118" s="13" t="s">
        <v>186</v>
      </c>
      <c r="B118" s="9">
        <f>2849-2842</f>
        <v>7</v>
      </c>
      <c r="C118" s="9">
        <f>33785-33781</f>
        <v>4</v>
      </c>
      <c r="D118" s="9">
        <f>97128-96978</f>
        <v>150</v>
      </c>
      <c r="E118" s="9">
        <f>67114-66522</f>
        <v>592</v>
      </c>
      <c r="F118" s="9">
        <f>7515-7140</f>
        <v>375</v>
      </c>
      <c r="G118" s="9">
        <f>8292-7991</f>
        <v>301</v>
      </c>
      <c r="H118" s="9">
        <f>44105-42736</f>
        <v>1369</v>
      </c>
      <c r="I118" s="9">
        <f>12874-11491</f>
        <v>1383</v>
      </c>
      <c r="J118" s="9">
        <f>20197-18463</f>
        <v>1734</v>
      </c>
      <c r="K118" s="9">
        <f>359-75</f>
        <v>284</v>
      </c>
      <c r="L118" s="9">
        <f>9988-9545</f>
        <v>443</v>
      </c>
      <c r="M118" s="9">
        <v>19</v>
      </c>
      <c r="N118" s="9">
        <f>20634-20346</f>
        <v>288</v>
      </c>
      <c r="O118" s="9">
        <f>78598-76741+95186-93138</f>
        <v>3905</v>
      </c>
      <c r="P118" s="9">
        <f>49250-48452+47054-46349</f>
        <v>1503</v>
      </c>
      <c r="Q118" s="9">
        <f>23413-21572</f>
        <v>1841</v>
      </c>
      <c r="R118" s="9">
        <f>47441-46964</f>
        <v>477</v>
      </c>
      <c r="S118" s="9">
        <f>17981-17825</f>
        <v>156</v>
      </c>
      <c r="T118" s="9">
        <f t="shared" si="19"/>
        <v>14831</v>
      </c>
    </row>
    <row r="119" spans="1:20" ht="18" customHeight="1">
      <c r="A119" s="13" t="s">
        <v>187</v>
      </c>
      <c r="B119" s="9">
        <v>248</v>
      </c>
      <c r="C119" s="9">
        <v>358</v>
      </c>
      <c r="D119" s="9">
        <v>113</v>
      </c>
      <c r="E119" s="9">
        <v>505</v>
      </c>
      <c r="F119" s="9">
        <v>914</v>
      </c>
      <c r="G119" s="9">
        <v>778</v>
      </c>
      <c r="H119" s="9">
        <v>1551</v>
      </c>
      <c r="I119" s="9">
        <v>1649</v>
      </c>
      <c r="J119" s="9">
        <v>1945</v>
      </c>
      <c r="K119" s="9">
        <v>337</v>
      </c>
      <c r="L119" s="9">
        <v>951</v>
      </c>
      <c r="M119" s="9">
        <f>161+510+1273</f>
        <v>1944</v>
      </c>
      <c r="N119" s="9">
        <v>305</v>
      </c>
      <c r="O119" s="9">
        <f>3744+3752</f>
        <v>7496</v>
      </c>
      <c r="P119" s="9">
        <f>1034+1031</f>
        <v>2065</v>
      </c>
      <c r="Q119" s="9">
        <v>1573</v>
      </c>
      <c r="R119" s="9">
        <v>771</v>
      </c>
      <c r="S119" s="9">
        <v>268</v>
      </c>
      <c r="T119" s="9">
        <f t="shared" si="19"/>
        <v>23771</v>
      </c>
    </row>
    <row r="120" spans="1:20" ht="18" customHeight="1">
      <c r="A120" s="13" t="s">
        <v>188</v>
      </c>
      <c r="B120" s="8">
        <f>730+3127-3097</f>
        <v>760</v>
      </c>
      <c r="C120" s="54">
        <f>34191+222-34143</f>
        <v>270</v>
      </c>
      <c r="D120" s="54">
        <f>97467-97241</f>
        <v>226</v>
      </c>
      <c r="E120" s="54">
        <f>68376-67619</f>
        <v>757</v>
      </c>
      <c r="F120" s="33">
        <f>9975-8429</f>
        <v>1546</v>
      </c>
      <c r="G120" s="54">
        <f>10164-9070</f>
        <v>1094</v>
      </c>
      <c r="H120" s="54">
        <f>47840-45656</f>
        <v>2184</v>
      </c>
      <c r="I120" s="54">
        <f>16761-14523</f>
        <v>2238</v>
      </c>
      <c r="J120" s="55">
        <f>24895-22142</f>
        <v>2753</v>
      </c>
      <c r="K120" s="54">
        <f>1123-696</f>
        <v>427</v>
      </c>
      <c r="L120" s="54">
        <f>12581-10939</f>
        <v>1642</v>
      </c>
      <c r="M120" s="54">
        <f>52972-52625+38452-37532+60287-58744</f>
        <v>2810</v>
      </c>
      <c r="N120" s="54">
        <f>21426-20939</f>
        <v>487</v>
      </c>
      <c r="O120" s="54">
        <f>88052-82342+104873-98938</f>
        <v>11645</v>
      </c>
      <c r="P120" s="54">
        <f>51576-50284+49412-48085</f>
        <v>2619</v>
      </c>
      <c r="Q120" s="54">
        <f>27356-24986</f>
        <v>2370</v>
      </c>
      <c r="R120" s="54">
        <f>49342-48212</f>
        <v>1130</v>
      </c>
      <c r="S120" s="54">
        <f>18713-18249</f>
        <v>464</v>
      </c>
      <c r="T120" s="54">
        <f>SUM(B120:S120)</f>
        <v>35422</v>
      </c>
    </row>
    <row r="121" spans="1:20" ht="18" customHeight="1">
      <c r="A121" s="13" t="s">
        <v>189</v>
      </c>
      <c r="B121" s="9">
        <f>1894-730</f>
        <v>1164</v>
      </c>
      <c r="C121" s="9">
        <f>394-222</f>
        <v>172</v>
      </c>
      <c r="D121" s="9">
        <f>97761-97467</f>
        <v>294</v>
      </c>
      <c r="E121" s="9">
        <f>69442-68376</f>
        <v>1066</v>
      </c>
      <c r="F121" s="9">
        <f>12059-9975</f>
        <v>2084</v>
      </c>
      <c r="G121" s="9">
        <f>11327-10164</f>
        <v>1163</v>
      </c>
      <c r="H121" s="9">
        <f>50440-47840</f>
        <v>2600</v>
      </c>
      <c r="I121" s="9">
        <f>19328-16761</f>
        <v>2567</v>
      </c>
      <c r="J121" s="9">
        <f>28224-24895</f>
        <v>3329</v>
      </c>
      <c r="K121" s="9">
        <f>2042-1123</f>
        <v>919</v>
      </c>
      <c r="L121" s="9">
        <f>14466-12581</f>
        <v>1885</v>
      </c>
      <c r="M121" s="9">
        <f>53865-52972+39246-38452+61825-60287</f>
        <v>3225</v>
      </c>
      <c r="N121" s="9">
        <f>22133-21426</f>
        <v>707</v>
      </c>
      <c r="O121" s="9">
        <f>93324-88052+110566-104873</f>
        <v>10965</v>
      </c>
      <c r="P121" s="9">
        <f>53255-51576+51164-49412</f>
        <v>3431</v>
      </c>
      <c r="Q121" s="57">
        <f>30765-27356</f>
        <v>3409</v>
      </c>
      <c r="R121" s="9">
        <f>50835-49342</f>
        <v>1493</v>
      </c>
      <c r="S121" s="9">
        <f>19298-18713</f>
        <v>585</v>
      </c>
      <c r="T121" s="9">
        <f t="shared" si="19"/>
        <v>41058</v>
      </c>
    </row>
    <row r="122" spans="1:20" ht="18" customHeight="1">
      <c r="A122" s="13" t="s">
        <v>190</v>
      </c>
      <c r="B122" s="9">
        <f>3335-1894</f>
        <v>1441</v>
      </c>
      <c r="C122" s="9">
        <f>495-394</f>
        <v>101</v>
      </c>
      <c r="D122" s="9">
        <f>98090-97761</f>
        <v>329</v>
      </c>
      <c r="E122" s="9">
        <f>70872-69442</f>
        <v>1430</v>
      </c>
      <c r="F122" s="9">
        <f>14493-12059</f>
        <v>2434</v>
      </c>
      <c r="G122" s="9">
        <f>12532-11327</f>
        <v>1205</v>
      </c>
      <c r="H122" s="9">
        <f>53271-50440</f>
        <v>2831</v>
      </c>
      <c r="I122" s="9">
        <f>22257-19328</f>
        <v>2929</v>
      </c>
      <c r="J122" s="9">
        <f>31923-28224</f>
        <v>3699</v>
      </c>
      <c r="K122" s="9">
        <f>3147-2042</f>
        <v>1105</v>
      </c>
      <c r="L122" s="9">
        <f>16608-14466</f>
        <v>2142</v>
      </c>
      <c r="M122" s="9">
        <f>55048-53865+40159-39246+63504-61825</f>
        <v>3775</v>
      </c>
      <c r="N122" s="9">
        <f>22970-22133</f>
        <v>837</v>
      </c>
      <c r="O122" s="9">
        <f>99109-93324+116818-110566</f>
        <v>12037</v>
      </c>
      <c r="P122" s="9">
        <f>55076-53255+53095-51164</f>
        <v>3752</v>
      </c>
      <c r="Q122" s="9">
        <f>34662-30765</f>
        <v>3897</v>
      </c>
      <c r="R122" s="9">
        <f>52519-50835</f>
        <v>1684</v>
      </c>
      <c r="S122" s="9">
        <f>19975-19298</f>
        <v>677</v>
      </c>
      <c r="T122" s="9">
        <f t="shared" si="19"/>
        <v>46305</v>
      </c>
    </row>
    <row r="123" spans="1:20" ht="18" customHeight="1">
      <c r="A123" s="15" t="s">
        <v>74</v>
      </c>
      <c r="B123" s="14">
        <f aca="true" t="shared" si="20" ref="B123:T123">SUM(B111:B122)</f>
        <v>5327</v>
      </c>
      <c r="C123" s="14">
        <f t="shared" si="20"/>
        <v>4403</v>
      </c>
      <c r="D123" s="14">
        <f t="shared" si="20"/>
        <v>2676</v>
      </c>
      <c r="E123" s="14">
        <f t="shared" si="20"/>
        <v>11240</v>
      </c>
      <c r="F123" s="14">
        <f t="shared" si="20"/>
        <v>35500</v>
      </c>
      <c r="G123" s="14">
        <f t="shared" si="20"/>
        <v>10220</v>
      </c>
      <c r="H123" s="14">
        <f t="shared" si="20"/>
        <v>22583</v>
      </c>
      <c r="I123" s="14">
        <f t="shared" si="20"/>
        <v>25515</v>
      </c>
      <c r="J123" s="14">
        <f t="shared" si="20"/>
        <v>28244</v>
      </c>
      <c r="K123" s="14">
        <f t="shared" si="20"/>
        <v>7627</v>
      </c>
      <c r="L123" s="14">
        <f t="shared" si="20"/>
        <v>15546</v>
      </c>
      <c r="M123" s="14">
        <f t="shared" si="20"/>
        <v>24369</v>
      </c>
      <c r="N123" s="14">
        <f t="shared" si="20"/>
        <v>6101</v>
      </c>
      <c r="O123" s="14">
        <f t="shared" si="20"/>
        <v>96382</v>
      </c>
      <c r="P123" s="14">
        <f t="shared" si="20"/>
        <v>30955</v>
      </c>
      <c r="Q123" s="14">
        <f t="shared" si="20"/>
        <v>30111</v>
      </c>
      <c r="R123" s="14">
        <f t="shared" si="20"/>
        <v>11585</v>
      </c>
      <c r="S123" s="14">
        <f t="shared" si="20"/>
        <v>4995</v>
      </c>
      <c r="T123" s="14">
        <f t="shared" si="20"/>
        <v>373379</v>
      </c>
    </row>
    <row r="124" spans="1:20" ht="18" customHeight="1">
      <c r="A124" s="36" t="s">
        <v>71</v>
      </c>
      <c r="B124" s="35">
        <f aca="true" t="shared" si="21" ref="B124:T124">B123/12</f>
        <v>443.9166666666667</v>
      </c>
      <c r="C124" s="35">
        <f t="shared" si="21"/>
        <v>366.9166666666667</v>
      </c>
      <c r="D124" s="35">
        <f t="shared" si="21"/>
        <v>223</v>
      </c>
      <c r="E124" s="35">
        <f t="shared" si="21"/>
        <v>936.6666666666666</v>
      </c>
      <c r="F124" s="35">
        <f t="shared" si="21"/>
        <v>2958.3333333333335</v>
      </c>
      <c r="G124" s="35">
        <f t="shared" si="21"/>
        <v>851.6666666666666</v>
      </c>
      <c r="H124" s="35">
        <f t="shared" si="21"/>
        <v>1881.9166666666667</v>
      </c>
      <c r="I124" s="35">
        <f t="shared" si="21"/>
        <v>2126.25</v>
      </c>
      <c r="J124" s="35">
        <f t="shared" si="21"/>
        <v>2353.6666666666665</v>
      </c>
      <c r="K124" s="35">
        <f t="shared" si="21"/>
        <v>635.5833333333334</v>
      </c>
      <c r="L124" s="35">
        <f t="shared" si="21"/>
        <v>1295.5</v>
      </c>
      <c r="M124" s="35">
        <f t="shared" si="21"/>
        <v>2030.75</v>
      </c>
      <c r="N124" s="35">
        <f t="shared" si="21"/>
        <v>508.4166666666667</v>
      </c>
      <c r="O124" s="35">
        <f t="shared" si="21"/>
        <v>8031.833333333333</v>
      </c>
      <c r="P124" s="35">
        <f t="shared" si="21"/>
        <v>2579.5833333333335</v>
      </c>
      <c r="Q124" s="35">
        <f t="shared" si="21"/>
        <v>2509.25</v>
      </c>
      <c r="R124" s="35">
        <f t="shared" si="21"/>
        <v>965.4166666666666</v>
      </c>
      <c r="S124" s="35">
        <f t="shared" si="21"/>
        <v>416.25</v>
      </c>
      <c r="T124" s="35">
        <f t="shared" si="21"/>
        <v>31114.916666666668</v>
      </c>
    </row>
    <row r="125" spans="1:20" ht="18" customHeight="1">
      <c r="A125" s="27" t="s">
        <v>135</v>
      </c>
      <c r="B125" s="24">
        <f>B124/82</f>
        <v>5.413617886178862</v>
      </c>
      <c r="C125" s="25">
        <f>C124/120</f>
        <v>3.057638888888889</v>
      </c>
      <c r="D125" s="25">
        <f>D124/46</f>
        <v>4.8478260869565215</v>
      </c>
      <c r="E125" s="25">
        <f>E124/199</f>
        <v>4.706867671691792</v>
      </c>
      <c r="F125" s="25">
        <f>F124/300</f>
        <v>9.861111111111112</v>
      </c>
      <c r="G125" s="25">
        <f>G124/361</f>
        <v>2.3591874422899353</v>
      </c>
      <c r="H125" s="25">
        <f>H124/370</f>
        <v>5.086261261261262</v>
      </c>
      <c r="I125" s="25">
        <f>I124/314</f>
        <v>6.771496815286624</v>
      </c>
      <c r="J125" s="25">
        <f>J124/343</f>
        <v>6.8620019436345965</v>
      </c>
      <c r="K125" s="25">
        <f>K124/297</f>
        <v>2.140011223344557</v>
      </c>
      <c r="L125" s="24">
        <f>L124/285</f>
        <v>4.545614035087719</v>
      </c>
      <c r="M125" s="24">
        <f>M124/447</f>
        <v>4.543064876957494</v>
      </c>
      <c r="N125" s="24">
        <f>N124/128</f>
        <v>3.9720052083333335</v>
      </c>
      <c r="O125" s="24">
        <f>O124/(296+476)</f>
        <v>10.403929188255614</v>
      </c>
      <c r="P125" s="24">
        <f>P124/328</f>
        <v>7.864583333333334</v>
      </c>
      <c r="Q125" s="24">
        <f>Q124/326</f>
        <v>7.697085889570552</v>
      </c>
      <c r="R125" s="24">
        <f>R124/192</f>
        <v>5.028211805555555</v>
      </c>
      <c r="S125" s="24">
        <f>S124/173</f>
        <v>2.4060693641618496</v>
      </c>
      <c r="T125" s="24">
        <f>T124/5083</f>
        <v>6.121368614335366</v>
      </c>
    </row>
    <row r="126" spans="1:20" ht="18" customHeight="1">
      <c r="A126" s="27" t="s">
        <v>141</v>
      </c>
      <c r="B126" s="24">
        <f aca="true" t="shared" si="22" ref="B126:T126">B125*12/2.5</f>
        <v>25.98536585365854</v>
      </c>
      <c r="C126" s="24">
        <f t="shared" si="22"/>
        <v>14.676666666666668</v>
      </c>
      <c r="D126" s="24">
        <f t="shared" si="22"/>
        <v>23.269565217391303</v>
      </c>
      <c r="E126" s="24">
        <f t="shared" si="22"/>
        <v>22.5929648241206</v>
      </c>
      <c r="F126" s="24">
        <f t="shared" si="22"/>
        <v>47.333333333333336</v>
      </c>
      <c r="G126" s="24">
        <f t="shared" si="22"/>
        <v>11.32409972299169</v>
      </c>
      <c r="H126" s="24">
        <f t="shared" si="22"/>
        <v>24.414054054054056</v>
      </c>
      <c r="I126" s="24">
        <f t="shared" si="22"/>
        <v>32.503184713375795</v>
      </c>
      <c r="J126" s="24">
        <f t="shared" si="22"/>
        <v>32.93760932944606</v>
      </c>
      <c r="K126" s="24">
        <f t="shared" si="22"/>
        <v>10.272053872053874</v>
      </c>
      <c r="L126" s="24">
        <f t="shared" si="22"/>
        <v>21.81894736842105</v>
      </c>
      <c r="M126" s="24">
        <f t="shared" si="22"/>
        <v>21.806711409395973</v>
      </c>
      <c r="N126" s="24">
        <f t="shared" si="22"/>
        <v>19.065625</v>
      </c>
      <c r="O126" s="24">
        <f t="shared" si="22"/>
        <v>49.93886010362694</v>
      </c>
      <c r="P126" s="24">
        <f t="shared" si="22"/>
        <v>37.75</v>
      </c>
      <c r="Q126" s="24">
        <f t="shared" si="22"/>
        <v>36.94601226993865</v>
      </c>
      <c r="R126" s="24">
        <f t="shared" si="22"/>
        <v>24.135416666666664</v>
      </c>
      <c r="S126" s="24">
        <f t="shared" si="22"/>
        <v>11.549132947976878</v>
      </c>
      <c r="T126" s="24">
        <f t="shared" si="22"/>
        <v>29.382569348809756</v>
      </c>
    </row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spans="1:20" ht="18" customHeight="1">
      <c r="A135" s="9" t="s">
        <v>18</v>
      </c>
      <c r="B135" s="9" t="s">
        <v>0</v>
      </c>
      <c r="C135" s="9" t="s">
        <v>1</v>
      </c>
      <c r="D135" s="9" t="s">
        <v>2</v>
      </c>
      <c r="E135" s="9" t="s">
        <v>3</v>
      </c>
      <c r="F135" s="9" t="s">
        <v>4</v>
      </c>
      <c r="G135" s="9" t="s">
        <v>5</v>
      </c>
      <c r="H135" s="9" t="s">
        <v>6</v>
      </c>
      <c r="I135" s="9" t="s">
        <v>7</v>
      </c>
      <c r="J135" s="9" t="s">
        <v>8</v>
      </c>
      <c r="K135" s="9" t="s">
        <v>9</v>
      </c>
      <c r="L135" s="9" t="s">
        <v>10</v>
      </c>
      <c r="M135" s="9" t="s">
        <v>11</v>
      </c>
      <c r="N135" s="9" t="s">
        <v>12</v>
      </c>
      <c r="O135" s="9" t="s">
        <v>13</v>
      </c>
      <c r="P135" s="9" t="s">
        <v>14</v>
      </c>
      <c r="Q135" s="9" t="s">
        <v>15</v>
      </c>
      <c r="R135" s="9" t="s">
        <v>16</v>
      </c>
      <c r="S135" s="9" t="s">
        <v>17</v>
      </c>
      <c r="T135" s="10" t="s">
        <v>134</v>
      </c>
    </row>
    <row r="136" spans="1:20" ht="18" customHeight="1">
      <c r="A136" s="13" t="s">
        <v>205</v>
      </c>
      <c r="B136" s="9">
        <f>4620-3335</f>
        <v>1285</v>
      </c>
      <c r="C136" s="9">
        <f>1014-495</f>
        <v>519</v>
      </c>
      <c r="D136" s="9">
        <f>98427-98090</f>
        <v>337</v>
      </c>
      <c r="E136" s="9">
        <f>72299-70872</f>
        <v>1427</v>
      </c>
      <c r="F136" s="9">
        <f>16662-14493</f>
        <v>2169</v>
      </c>
      <c r="G136" s="9">
        <f>13713-12532</f>
        <v>1181</v>
      </c>
      <c r="H136" s="9">
        <f>56416-53271</f>
        <v>3145</v>
      </c>
      <c r="I136" s="9">
        <f>25004-22257</f>
        <v>2747</v>
      </c>
      <c r="J136" s="9">
        <f>36193-31923</f>
        <v>4270</v>
      </c>
      <c r="K136" s="9">
        <f>4084-3147</f>
        <v>937</v>
      </c>
      <c r="L136" s="9">
        <f>18451-16608</f>
        <v>1843</v>
      </c>
      <c r="M136" s="9">
        <f>56696-55048+41272-40159+64962-63504</f>
        <v>4219</v>
      </c>
      <c r="N136" s="9">
        <f>23886-22970</f>
        <v>916</v>
      </c>
      <c r="O136" s="9">
        <f>104910-99109+23130-16818</f>
        <v>12113</v>
      </c>
      <c r="P136" s="9">
        <f>56607-55076+54818-53095</f>
        <v>3254</v>
      </c>
      <c r="Q136" s="9">
        <f>39369-34662</f>
        <v>4707</v>
      </c>
      <c r="R136" s="9">
        <f>54159-52519</f>
        <v>1640</v>
      </c>
      <c r="S136" s="9">
        <f>20567-19975</f>
        <v>592</v>
      </c>
      <c r="T136" s="9">
        <f aca="true" t="shared" si="23" ref="T136:T144">SUM(B136:S136)</f>
        <v>47301</v>
      </c>
    </row>
    <row r="137" spans="1:20" ht="18" customHeight="1">
      <c r="A137" s="13" t="s">
        <v>206</v>
      </c>
      <c r="B137" s="9">
        <f>5035-4620</f>
        <v>415</v>
      </c>
      <c r="C137" s="9">
        <f>1737-1014</f>
        <v>723</v>
      </c>
      <c r="D137" s="9">
        <f>98687-98427</f>
        <v>260</v>
      </c>
      <c r="E137" s="9">
        <f>73382-72299</f>
        <v>1083</v>
      </c>
      <c r="F137" s="9">
        <f>18333+-16662</f>
        <v>1671</v>
      </c>
      <c r="G137" s="9">
        <f>14662-13713</f>
        <v>949</v>
      </c>
      <c r="H137" s="9">
        <f>58626-56416</f>
        <v>2210</v>
      </c>
      <c r="I137" s="9">
        <f>26987-25004</f>
        <v>1983</v>
      </c>
      <c r="J137" s="9">
        <f>39461-36193</f>
        <v>3268</v>
      </c>
      <c r="K137" s="9">
        <f>4681-4084</f>
        <v>597</v>
      </c>
      <c r="L137" s="9">
        <f>20030-18451</f>
        <v>1579</v>
      </c>
      <c r="M137" s="9">
        <f>57203-56696+42246-41272+66150-64962</f>
        <v>2669</v>
      </c>
      <c r="N137" s="9">
        <f>24554-23886</f>
        <v>668</v>
      </c>
      <c r="O137" s="9">
        <f>110399-104910+29043-23130</f>
        <v>11402</v>
      </c>
      <c r="P137" s="9">
        <f>57961-56607+56301-54818</f>
        <v>2837</v>
      </c>
      <c r="Q137" s="9">
        <f>42673-39369</f>
        <v>3304</v>
      </c>
      <c r="R137" s="9">
        <f>55294-54159</f>
        <v>1135</v>
      </c>
      <c r="S137" s="9">
        <f>20997-20567</f>
        <v>430</v>
      </c>
      <c r="T137" s="9">
        <f t="shared" si="23"/>
        <v>37183</v>
      </c>
    </row>
    <row r="138" spans="1:20" ht="18" customHeight="1">
      <c r="A138" s="13" t="s">
        <v>207</v>
      </c>
      <c r="B138" s="9">
        <f>5659-5035</f>
        <v>624</v>
      </c>
      <c r="C138" s="9">
        <f>2743-1737</f>
        <v>1006</v>
      </c>
      <c r="D138" s="9">
        <f>99040-98687</f>
        <v>353</v>
      </c>
      <c r="E138" s="9">
        <f>75443-73382</f>
        <v>2061</v>
      </c>
      <c r="F138" s="9">
        <f>21230-18333</f>
        <v>2897</v>
      </c>
      <c r="G138" s="9">
        <f>16341-14662</f>
        <v>1679</v>
      </c>
      <c r="H138" s="9">
        <f>61785-58626</f>
        <v>3159</v>
      </c>
      <c r="I138" s="9">
        <f>30527-26987</f>
        <v>3540</v>
      </c>
      <c r="J138" s="9">
        <f>44237-39461</f>
        <v>4776</v>
      </c>
      <c r="K138" s="9">
        <f>5758-4681</f>
        <v>1077</v>
      </c>
      <c r="L138" s="9">
        <f>22710-20030</f>
        <v>2680</v>
      </c>
      <c r="M138" s="9">
        <f>57630-57203+44021-42246+68272-66150</f>
        <v>4324</v>
      </c>
      <c r="N138" s="9">
        <f>25488-24554</f>
        <v>934</v>
      </c>
      <c r="O138" s="9">
        <f>18198-10399+37287-29043</f>
        <v>16043</v>
      </c>
      <c r="P138" s="9">
        <f>60164-57961+58660-56301</f>
        <v>4562</v>
      </c>
      <c r="Q138" s="9">
        <f>47219-42673</f>
        <v>4546</v>
      </c>
      <c r="R138" s="9">
        <f>57142-55294</f>
        <v>1848</v>
      </c>
      <c r="S138" s="9">
        <f>21787-20997</f>
        <v>790</v>
      </c>
      <c r="T138" s="9">
        <f t="shared" si="23"/>
        <v>56899</v>
      </c>
    </row>
    <row r="139" spans="1:20" ht="18" customHeight="1">
      <c r="A139" s="13" t="s">
        <v>208</v>
      </c>
      <c r="B139" s="9">
        <f>6093-5659</f>
        <v>434</v>
      </c>
      <c r="C139" s="9">
        <f>3474-2743</f>
        <v>731</v>
      </c>
      <c r="D139" s="9">
        <f>99330-99040</f>
        <v>290</v>
      </c>
      <c r="E139" s="9">
        <f>76819-75443</f>
        <v>1376</v>
      </c>
      <c r="F139" s="9">
        <f>23233-21230</f>
        <v>2003</v>
      </c>
      <c r="G139" s="9">
        <f>17591-16341</f>
        <v>1250</v>
      </c>
      <c r="H139" s="9">
        <f>64093-61785</f>
        <v>2308</v>
      </c>
      <c r="I139" s="9">
        <f>33039-30527</f>
        <v>2512</v>
      </c>
      <c r="J139" s="9">
        <f>48046-44237</f>
        <v>3809</v>
      </c>
      <c r="K139" s="9">
        <f>6662-5758</f>
        <v>904</v>
      </c>
      <c r="L139" s="9">
        <f>24546-22710</f>
        <v>1836</v>
      </c>
      <c r="M139" s="9">
        <f>58100-57630+45307-44021+69944-68272</f>
        <v>3428</v>
      </c>
      <c r="N139" s="9">
        <f>26151-25488</f>
        <v>663</v>
      </c>
      <c r="O139" s="9">
        <f>24115-18198+43523-37287</f>
        <v>12153</v>
      </c>
      <c r="P139" s="9">
        <f>61818-60164+60403-58660</f>
        <v>3397</v>
      </c>
      <c r="Q139" s="9">
        <f>50574-47219</f>
        <v>3355</v>
      </c>
      <c r="R139" s="9">
        <f>58422-57142</f>
        <v>1280</v>
      </c>
      <c r="S139" s="9">
        <f>22314-21787</f>
        <v>527</v>
      </c>
      <c r="T139" s="9">
        <f t="shared" si="23"/>
        <v>42256</v>
      </c>
    </row>
    <row r="140" spans="1:20" ht="18" customHeight="1">
      <c r="A140" s="13" t="s">
        <v>209</v>
      </c>
      <c r="B140" s="9">
        <f>6521-6093</f>
        <v>428</v>
      </c>
      <c r="C140" s="9">
        <f>4195-3474</f>
        <v>721</v>
      </c>
      <c r="D140" s="9">
        <f>99602-99330</f>
        <v>272</v>
      </c>
      <c r="E140" s="9">
        <f>78238-76819</f>
        <v>1419</v>
      </c>
      <c r="F140" s="9">
        <f>25363-23233</f>
        <v>2130</v>
      </c>
      <c r="G140" s="9">
        <f>18901-17591</f>
        <v>1310</v>
      </c>
      <c r="H140" s="9">
        <f>66318-64093</f>
        <v>2225</v>
      </c>
      <c r="I140" s="9">
        <f>35680-33039</f>
        <v>2641</v>
      </c>
      <c r="J140" s="9">
        <f>52132-48046</f>
        <v>4086</v>
      </c>
      <c r="K140" s="9">
        <f>7671-6662</f>
        <v>1009</v>
      </c>
      <c r="L140" s="9">
        <f>26483-24546</f>
        <v>1937</v>
      </c>
      <c r="M140" s="9">
        <f>59229-58100+45813-45307+71329-69944</f>
        <v>3020</v>
      </c>
      <c r="N140" s="9">
        <f>26795-26151</f>
        <v>644</v>
      </c>
      <c r="O140" s="9">
        <f>29298-24115+48898-43523</f>
        <v>10558</v>
      </c>
      <c r="P140" s="9">
        <f>63392-61818+62038-60403</f>
        <v>3209</v>
      </c>
      <c r="Q140" s="9">
        <f>53770-50574</f>
        <v>3196</v>
      </c>
      <c r="R140" s="9">
        <f>59708-58422</f>
        <v>1286</v>
      </c>
      <c r="S140" s="9">
        <f>22806-22314</f>
        <v>492</v>
      </c>
      <c r="T140" s="9">
        <f t="shared" si="23"/>
        <v>40583</v>
      </c>
    </row>
    <row r="141" spans="1:20" ht="18" customHeight="1">
      <c r="A141" s="13" t="s">
        <v>210</v>
      </c>
      <c r="B141" s="9">
        <f>6746-6521</f>
        <v>225</v>
      </c>
      <c r="C141" s="9">
        <f>4601-4195</f>
        <v>406</v>
      </c>
      <c r="D141" s="9">
        <f>99800-99602</f>
        <v>198</v>
      </c>
      <c r="E141" s="9">
        <f>79096-78238</f>
        <v>858</v>
      </c>
      <c r="F141" s="9">
        <f>26862-25363</f>
        <v>1499</v>
      </c>
      <c r="G141" s="9">
        <f>19767-18901</f>
        <v>866</v>
      </c>
      <c r="H141" s="9">
        <f>67745-66318</f>
        <v>1427</v>
      </c>
      <c r="I141" s="9">
        <f>37645-35680</f>
        <v>1965</v>
      </c>
      <c r="J141" s="9">
        <f>54174-52132</f>
        <v>2042</v>
      </c>
      <c r="K141" s="9">
        <f>8285-7671</f>
        <v>614</v>
      </c>
      <c r="L141" s="9">
        <f>27743-26483</f>
        <v>1260</v>
      </c>
      <c r="M141" s="9">
        <f>60149-59229+46363-45813+72239-71329</f>
        <v>2380</v>
      </c>
      <c r="N141" s="9">
        <f>27159-26795</f>
        <v>364</v>
      </c>
      <c r="O141" s="9">
        <f>32674-29298+52336-48898</f>
        <v>6814</v>
      </c>
      <c r="P141" s="9">
        <f>64247-63392+62919-62038</f>
        <v>1736</v>
      </c>
      <c r="Q141" s="9">
        <f>55386-53770</f>
        <v>1616</v>
      </c>
      <c r="R141" s="9">
        <f>60355-59708</f>
        <v>647</v>
      </c>
      <c r="S141" s="9">
        <f>23098-22806</f>
        <v>292</v>
      </c>
      <c r="T141" s="9">
        <f t="shared" si="23"/>
        <v>25209</v>
      </c>
    </row>
    <row r="142" spans="1:20" ht="18" customHeight="1">
      <c r="A142" s="13" t="s">
        <v>211</v>
      </c>
      <c r="B142" s="9">
        <f>6993-6746</f>
        <v>247</v>
      </c>
      <c r="C142" s="9">
        <f>5000-4601</f>
        <v>399</v>
      </c>
      <c r="D142" s="9">
        <f>99927-99800</f>
        <v>127</v>
      </c>
      <c r="E142" s="9">
        <f>79726-79096</f>
        <v>630</v>
      </c>
      <c r="F142" s="9">
        <f>26868-26862</f>
        <v>6</v>
      </c>
      <c r="G142" s="9">
        <f>19768-19767</f>
        <v>1</v>
      </c>
      <c r="H142" s="9">
        <f>69219-67745</f>
        <v>1474</v>
      </c>
      <c r="I142" s="9">
        <f>38571-37645</f>
        <v>926</v>
      </c>
      <c r="J142" s="9">
        <f>54558-54174</f>
        <v>384</v>
      </c>
      <c r="K142" s="9">
        <f>8838-8285</f>
        <v>553</v>
      </c>
      <c r="L142" s="9">
        <f>28370-27743</f>
        <v>627</v>
      </c>
      <c r="M142" s="9">
        <f>60594-60149+46704-46363+73489-72239</f>
        <v>2036</v>
      </c>
      <c r="N142" s="9">
        <f>27482-27159</f>
        <v>323</v>
      </c>
      <c r="O142" s="9">
        <f>35006-32674+54674-52336</f>
        <v>4670</v>
      </c>
      <c r="P142" s="9">
        <f>64754-64247+63425-62919</f>
        <v>1013</v>
      </c>
      <c r="Q142" s="9">
        <f>56818-55386</f>
        <v>1432</v>
      </c>
      <c r="R142" s="9">
        <f>60938-60355</f>
        <v>583</v>
      </c>
      <c r="S142" s="9">
        <f>23319-23098</f>
        <v>221</v>
      </c>
      <c r="T142" s="9">
        <f t="shared" si="23"/>
        <v>15652</v>
      </c>
    </row>
    <row r="143" spans="1:20" ht="18" customHeight="1">
      <c r="A143" s="13" t="s">
        <v>212</v>
      </c>
      <c r="B143" s="9">
        <f>7209-6993</f>
        <v>216</v>
      </c>
      <c r="C143" s="9">
        <f>5361-5000</f>
        <v>361</v>
      </c>
      <c r="D143" s="9">
        <f>100031-99927</f>
        <v>104</v>
      </c>
      <c r="E143" s="9">
        <f>80228-79726</f>
        <v>502</v>
      </c>
      <c r="F143" s="9">
        <f>27040-26868</f>
        <v>172</v>
      </c>
      <c r="G143" s="9">
        <f>19910-19768</f>
        <v>142</v>
      </c>
      <c r="H143" s="9">
        <f>70382-69219</f>
        <v>1163</v>
      </c>
      <c r="I143" s="9">
        <f>39143-38571</f>
        <v>572</v>
      </c>
      <c r="J143" s="9">
        <f>54902-54558</f>
        <v>344</v>
      </c>
      <c r="K143" s="9">
        <f>9134-8838</f>
        <v>296</v>
      </c>
      <c r="L143" s="9">
        <f>28900-28370</f>
        <v>530</v>
      </c>
      <c r="M143" s="9">
        <f>60756-60594+47036-46704+74835-73489</f>
        <v>1840</v>
      </c>
      <c r="N143" s="9">
        <f>27726-27482</f>
        <v>244</v>
      </c>
      <c r="O143" s="9">
        <f>37216-35006+56844-54674</f>
        <v>4380</v>
      </c>
      <c r="P143" s="9">
        <f>65366-64754+64055-63425</f>
        <v>1242</v>
      </c>
      <c r="Q143" s="9">
        <f>58180-56818</f>
        <v>1362</v>
      </c>
      <c r="R143" s="9">
        <f>61396-60938</f>
        <v>458</v>
      </c>
      <c r="S143" s="9">
        <f>23513-23319</f>
        <v>194</v>
      </c>
      <c r="T143" s="9">
        <f t="shared" si="23"/>
        <v>14122</v>
      </c>
    </row>
    <row r="144" spans="1:20" ht="18" customHeight="1">
      <c r="A144" s="13" t="s">
        <v>213</v>
      </c>
      <c r="B144" s="9">
        <f>7443-7209</f>
        <v>234</v>
      </c>
      <c r="C144" s="9">
        <f>5667-5361</f>
        <v>306</v>
      </c>
      <c r="D144" s="9">
        <f>125-31</f>
        <v>94</v>
      </c>
      <c r="E144" s="9">
        <f>80806-80228</f>
        <v>578</v>
      </c>
      <c r="F144" s="9">
        <f>27678-27040</f>
        <v>638</v>
      </c>
      <c r="G144" s="9">
        <f>20557-19910</f>
        <v>647</v>
      </c>
      <c r="H144" s="9">
        <f>71461-70382</f>
        <v>1079</v>
      </c>
      <c r="I144" s="9">
        <f>40982-39143</f>
        <v>1839</v>
      </c>
      <c r="J144" s="9">
        <f>56572-54902</f>
        <v>1670</v>
      </c>
      <c r="K144" s="9">
        <f>9494-9134</f>
        <v>360</v>
      </c>
      <c r="L144" s="9">
        <f>29579-28900</f>
        <v>679</v>
      </c>
      <c r="M144" s="9">
        <f>61089-60756+47316-47036+75839-74835</f>
        <v>1617</v>
      </c>
      <c r="N144" s="9">
        <f>27935-27726</f>
        <v>209</v>
      </c>
      <c r="O144" s="9">
        <f>39791-37216+59487-56844</f>
        <v>5218</v>
      </c>
      <c r="P144" s="9">
        <f>66057-65366+64795-64055</f>
        <v>1431</v>
      </c>
      <c r="Q144" s="9">
        <f>59694-58180</f>
        <v>1514</v>
      </c>
      <c r="R144" s="9">
        <f>61997-61396</f>
        <v>601</v>
      </c>
      <c r="S144" s="9">
        <f>23773-23513</f>
        <v>260</v>
      </c>
      <c r="T144" s="9">
        <f t="shared" si="23"/>
        <v>18974</v>
      </c>
    </row>
    <row r="145" spans="1:20" ht="18" customHeight="1">
      <c r="A145" s="13" t="s">
        <v>214</v>
      </c>
      <c r="B145" s="8">
        <f>7752-7443</f>
        <v>309</v>
      </c>
      <c r="C145" s="54">
        <f>6099-5667</f>
        <v>432</v>
      </c>
      <c r="D145" s="54">
        <f>279-125</f>
        <v>154</v>
      </c>
      <c r="E145" s="54">
        <f>81695-80806</f>
        <v>889</v>
      </c>
      <c r="F145" s="33">
        <f>28806-27678</f>
        <v>1128</v>
      </c>
      <c r="G145" s="54">
        <f>21693-20557</f>
        <v>1136</v>
      </c>
      <c r="H145" s="54">
        <f>73005-71461</f>
        <v>1544</v>
      </c>
      <c r="I145" s="54">
        <f>43038-40982</f>
        <v>2056</v>
      </c>
      <c r="J145" s="55">
        <f>58866-56572</f>
        <v>2294</v>
      </c>
      <c r="K145" s="54">
        <f>10082-9494</f>
        <v>588</v>
      </c>
      <c r="L145" s="54">
        <f>30765-29579</f>
        <v>1186</v>
      </c>
      <c r="M145" s="54">
        <f>61717-61089+47602-47316+77163-75839</f>
        <v>2238</v>
      </c>
      <c r="N145" s="54">
        <f>28243-27935</f>
        <v>308</v>
      </c>
      <c r="O145" s="54">
        <f>41917-39791+61798-59487</f>
        <v>4437</v>
      </c>
      <c r="P145" s="54">
        <f>67264-66057+66085-64795</f>
        <v>2497</v>
      </c>
      <c r="Q145" s="54">
        <f>62223-59694</f>
        <v>2529</v>
      </c>
      <c r="R145" s="54">
        <f>63079-61997</f>
        <v>1082</v>
      </c>
      <c r="S145" s="54">
        <f>24199-23773</f>
        <v>426</v>
      </c>
      <c r="T145" s="54">
        <f>SUM(B145:S145)</f>
        <v>25233</v>
      </c>
    </row>
    <row r="146" spans="1:20" ht="18" customHeight="1">
      <c r="A146" s="13" t="s">
        <v>215</v>
      </c>
      <c r="B146" s="9">
        <f>8232-7752</f>
        <v>480</v>
      </c>
      <c r="C146" s="9">
        <f>6868-6099</f>
        <v>769</v>
      </c>
      <c r="D146" s="9">
        <f>524-279</f>
        <v>245</v>
      </c>
      <c r="E146" s="9">
        <f>82930-81695</f>
        <v>1235</v>
      </c>
      <c r="F146" s="9">
        <f>30321-28806</f>
        <v>1515</v>
      </c>
      <c r="G146" s="9">
        <f>23435-21693</f>
        <v>1742</v>
      </c>
      <c r="H146" s="9">
        <f>75382-73005</f>
        <v>2377</v>
      </c>
      <c r="I146" s="9">
        <f>45706-43038</f>
        <v>2668</v>
      </c>
      <c r="J146" s="9">
        <f>62162-58866</f>
        <v>3296</v>
      </c>
      <c r="K146" s="9">
        <f>11166-10082</f>
        <v>1084</v>
      </c>
      <c r="L146" s="9">
        <f>32710-30765</f>
        <v>1945</v>
      </c>
      <c r="M146" s="9">
        <f>62483-61717+49086-47602+79182-77163</f>
        <v>4269</v>
      </c>
      <c r="N146" s="9">
        <f>28759-28243</f>
        <v>516</v>
      </c>
      <c r="O146" s="9">
        <f>46237-41917+66351-61798</f>
        <v>8873</v>
      </c>
      <c r="P146" s="9">
        <f>68949-67264+67943-66085</f>
        <v>3543</v>
      </c>
      <c r="Q146" s="9">
        <f>65555-62223</f>
        <v>3332</v>
      </c>
      <c r="R146" s="9">
        <f>64577-63079</f>
        <v>1498</v>
      </c>
      <c r="S146" s="9">
        <f>24854-24199</f>
        <v>655</v>
      </c>
      <c r="T146" s="9">
        <f>SUM(B146:S146)</f>
        <v>40042</v>
      </c>
    </row>
    <row r="147" spans="1:20" ht="18" customHeight="1">
      <c r="A147" s="13" t="s">
        <v>216</v>
      </c>
      <c r="B147" s="9">
        <f>8824-8232</f>
        <v>592</v>
      </c>
      <c r="C147" s="9">
        <f>7908-6868</f>
        <v>1040</v>
      </c>
      <c r="D147" s="9">
        <v>0</v>
      </c>
      <c r="E147" s="9">
        <f>1959</f>
        <v>1959</v>
      </c>
      <c r="F147" s="9">
        <f>32355-30321</f>
        <v>2034</v>
      </c>
      <c r="G147" s="9">
        <f>25505-23435</f>
        <v>2070</v>
      </c>
      <c r="H147" s="9">
        <f>78277-75382</f>
        <v>2895</v>
      </c>
      <c r="I147" s="9">
        <f>48705-45706</f>
        <v>2999</v>
      </c>
      <c r="J147" s="9">
        <f>66043-62162</f>
        <v>3881</v>
      </c>
      <c r="K147" s="9">
        <f>12303-11166</f>
        <v>1137</v>
      </c>
      <c r="L147" s="9">
        <f>35192-32710</f>
        <v>2482</v>
      </c>
      <c r="M147" s="9">
        <f>63275-62483+51679-49086+81985-79182</f>
        <v>6188</v>
      </c>
      <c r="N147" s="9">
        <f>29434-28759</f>
        <v>675</v>
      </c>
      <c r="O147" s="9">
        <f>52549-46237+72932-66351</f>
        <v>12893</v>
      </c>
      <c r="P147" s="9">
        <f>71157-68949+70309-67943</f>
        <v>4574</v>
      </c>
      <c r="Q147" s="9">
        <f>69663-65555</f>
        <v>4108</v>
      </c>
      <c r="R147" s="9">
        <f>66446-64577</f>
        <v>1869</v>
      </c>
      <c r="S147" s="9">
        <f>25730-24854</f>
        <v>876</v>
      </c>
      <c r="T147" s="9">
        <f>SUM(B147:S147)</f>
        <v>52272</v>
      </c>
    </row>
    <row r="148" spans="1:20" ht="18" customHeight="1">
      <c r="A148" s="15" t="s">
        <v>74</v>
      </c>
      <c r="B148" s="14">
        <f aca="true" t="shared" si="24" ref="B148:T148">SUM(B136:B147)</f>
        <v>5489</v>
      </c>
      <c r="C148" s="14">
        <f t="shared" si="24"/>
        <v>7413</v>
      </c>
      <c r="D148" s="14">
        <f t="shared" si="24"/>
        <v>2434</v>
      </c>
      <c r="E148" s="14">
        <f t="shared" si="24"/>
        <v>14017</v>
      </c>
      <c r="F148" s="14">
        <f t="shared" si="24"/>
        <v>17862</v>
      </c>
      <c r="G148" s="14">
        <f t="shared" si="24"/>
        <v>12973</v>
      </c>
      <c r="H148" s="14">
        <f t="shared" si="24"/>
        <v>25006</v>
      </c>
      <c r="I148" s="14">
        <f t="shared" si="24"/>
        <v>26448</v>
      </c>
      <c r="J148" s="14">
        <f t="shared" si="24"/>
        <v>34120</v>
      </c>
      <c r="K148" s="14">
        <f t="shared" si="24"/>
        <v>9156</v>
      </c>
      <c r="L148" s="14">
        <f t="shared" si="24"/>
        <v>18584</v>
      </c>
      <c r="M148" s="14">
        <f t="shared" si="24"/>
        <v>38228</v>
      </c>
      <c r="N148" s="14">
        <f t="shared" si="24"/>
        <v>6464</v>
      </c>
      <c r="O148" s="14">
        <f t="shared" si="24"/>
        <v>109554</v>
      </c>
      <c r="P148" s="14">
        <f t="shared" si="24"/>
        <v>33295</v>
      </c>
      <c r="Q148" s="14">
        <f t="shared" si="24"/>
        <v>35001</v>
      </c>
      <c r="R148" s="14">
        <f t="shared" si="24"/>
        <v>13927</v>
      </c>
      <c r="S148" s="14">
        <f t="shared" si="24"/>
        <v>5755</v>
      </c>
      <c r="T148" s="14">
        <f t="shared" si="24"/>
        <v>415726</v>
      </c>
    </row>
    <row r="149" spans="1:20" ht="18" customHeight="1">
      <c r="A149" s="36" t="s">
        <v>71</v>
      </c>
      <c r="B149" s="35">
        <f aca="true" t="shared" si="25" ref="B149:T149">B148/12</f>
        <v>457.4166666666667</v>
      </c>
      <c r="C149" s="35">
        <f t="shared" si="25"/>
        <v>617.75</v>
      </c>
      <c r="D149" s="35">
        <f t="shared" si="25"/>
        <v>202.83333333333334</v>
      </c>
      <c r="E149" s="35">
        <f t="shared" si="25"/>
        <v>1168.0833333333333</v>
      </c>
      <c r="F149" s="35">
        <f t="shared" si="25"/>
        <v>1488.5</v>
      </c>
      <c r="G149" s="35">
        <f t="shared" si="25"/>
        <v>1081.0833333333333</v>
      </c>
      <c r="H149" s="35">
        <f t="shared" si="25"/>
        <v>2083.8333333333335</v>
      </c>
      <c r="I149" s="35">
        <f t="shared" si="25"/>
        <v>2204</v>
      </c>
      <c r="J149" s="35">
        <f t="shared" si="25"/>
        <v>2843.3333333333335</v>
      </c>
      <c r="K149" s="35">
        <f t="shared" si="25"/>
        <v>763</v>
      </c>
      <c r="L149" s="35">
        <f t="shared" si="25"/>
        <v>1548.6666666666667</v>
      </c>
      <c r="M149" s="35">
        <f t="shared" si="25"/>
        <v>3185.6666666666665</v>
      </c>
      <c r="N149" s="35">
        <f t="shared" si="25"/>
        <v>538.6666666666666</v>
      </c>
      <c r="O149" s="35">
        <f t="shared" si="25"/>
        <v>9129.5</v>
      </c>
      <c r="P149" s="35">
        <f t="shared" si="25"/>
        <v>2774.5833333333335</v>
      </c>
      <c r="Q149" s="35">
        <f t="shared" si="25"/>
        <v>2916.75</v>
      </c>
      <c r="R149" s="35">
        <f t="shared" si="25"/>
        <v>1160.5833333333333</v>
      </c>
      <c r="S149" s="35">
        <f t="shared" si="25"/>
        <v>479.5833333333333</v>
      </c>
      <c r="T149" s="35">
        <f t="shared" si="25"/>
        <v>34643.833333333336</v>
      </c>
    </row>
    <row r="150" spans="1:20" ht="18" customHeight="1">
      <c r="A150" s="27" t="s">
        <v>135</v>
      </c>
      <c r="B150" s="24">
        <f>B149/82</f>
        <v>5.578252032520325</v>
      </c>
      <c r="C150" s="25">
        <f>C149/120</f>
        <v>5.147916666666666</v>
      </c>
      <c r="D150" s="25">
        <f>D149/46</f>
        <v>4.409420289855072</v>
      </c>
      <c r="E150" s="25">
        <f>E149/199</f>
        <v>5.869765494137353</v>
      </c>
      <c r="F150" s="25">
        <f>F149/300</f>
        <v>4.961666666666667</v>
      </c>
      <c r="G150" s="25">
        <f>G149/361</f>
        <v>2.9946906740535546</v>
      </c>
      <c r="H150" s="25">
        <f>H149/370</f>
        <v>5.6319819819819825</v>
      </c>
      <c r="I150" s="25">
        <f>I149/314</f>
        <v>7.019108280254777</v>
      </c>
      <c r="J150" s="25">
        <f>J149/343</f>
        <v>8.289601554907678</v>
      </c>
      <c r="K150" s="25">
        <f>K149/297</f>
        <v>2.569023569023569</v>
      </c>
      <c r="L150" s="24">
        <f>L149/285</f>
        <v>5.433918128654971</v>
      </c>
      <c r="M150" s="24">
        <f>M149/447</f>
        <v>7.126771066368382</v>
      </c>
      <c r="N150" s="24">
        <f>N149/128</f>
        <v>4.208333333333333</v>
      </c>
      <c r="O150" s="24">
        <f>O149/(296+476)</f>
        <v>11.825777202072539</v>
      </c>
      <c r="P150" s="24">
        <f>P149/328</f>
        <v>8.459095528455284</v>
      </c>
      <c r="Q150" s="24">
        <f>Q149/326</f>
        <v>8.947085889570552</v>
      </c>
      <c r="R150" s="24">
        <f>R149/192</f>
        <v>6.044704861111111</v>
      </c>
      <c r="S150" s="24">
        <f>S149/173</f>
        <v>2.7721579961464355</v>
      </c>
      <c r="T150" s="24">
        <f>T149/5083</f>
        <v>6.815627254246181</v>
      </c>
    </row>
    <row r="151" spans="1:20" ht="18" customHeight="1">
      <c r="A151" s="27" t="s">
        <v>141</v>
      </c>
      <c r="B151" s="24">
        <f aca="true" t="shared" si="26" ref="B151:T151">B150*12/2.5</f>
        <v>26.77560975609756</v>
      </c>
      <c r="C151" s="24">
        <f t="shared" si="26"/>
        <v>24.709999999999997</v>
      </c>
      <c r="D151" s="24">
        <f t="shared" si="26"/>
        <v>21.165217391304346</v>
      </c>
      <c r="E151" s="24">
        <f t="shared" si="26"/>
        <v>28.174874371859296</v>
      </c>
      <c r="F151" s="24">
        <f t="shared" si="26"/>
        <v>23.816000000000003</v>
      </c>
      <c r="G151" s="24">
        <f t="shared" si="26"/>
        <v>14.374515235457062</v>
      </c>
      <c r="H151" s="24">
        <f t="shared" si="26"/>
        <v>27.033513513513515</v>
      </c>
      <c r="I151" s="24">
        <f t="shared" si="26"/>
        <v>33.691719745222926</v>
      </c>
      <c r="J151" s="24">
        <f t="shared" si="26"/>
        <v>39.79008746355686</v>
      </c>
      <c r="K151" s="24">
        <f t="shared" si="26"/>
        <v>12.331313131313133</v>
      </c>
      <c r="L151" s="24">
        <f t="shared" si="26"/>
        <v>26.08280701754386</v>
      </c>
      <c r="M151" s="24">
        <f t="shared" si="26"/>
        <v>34.208501118568236</v>
      </c>
      <c r="N151" s="24">
        <f t="shared" si="26"/>
        <v>20.2</v>
      </c>
      <c r="O151" s="24">
        <f t="shared" si="26"/>
        <v>56.76373056994819</v>
      </c>
      <c r="P151" s="24">
        <f t="shared" si="26"/>
        <v>40.603658536585364</v>
      </c>
      <c r="Q151" s="24">
        <f t="shared" si="26"/>
        <v>42.94601226993865</v>
      </c>
      <c r="R151" s="24">
        <f t="shared" si="26"/>
        <v>29.01458333333333</v>
      </c>
      <c r="S151" s="24">
        <f t="shared" si="26"/>
        <v>13.30635838150289</v>
      </c>
      <c r="T151" s="24">
        <f t="shared" si="26"/>
        <v>32.715010820381664</v>
      </c>
    </row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spans="1:5" ht="18" customHeight="1">
      <c r="A197" s="93" t="s">
        <v>303</v>
      </c>
      <c r="B197" s="93"/>
      <c r="C197" s="93"/>
      <c r="D197" s="93"/>
      <c r="E197" s="93"/>
    </row>
    <row r="198" spans="1:22" ht="18" customHeight="1">
      <c r="A198" s="9" t="s">
        <v>18</v>
      </c>
      <c r="B198" s="9" t="s">
        <v>0</v>
      </c>
      <c r="C198" s="9" t="s">
        <v>1</v>
      </c>
      <c r="D198" s="9" t="s">
        <v>2</v>
      </c>
      <c r="E198" s="9" t="s">
        <v>3</v>
      </c>
      <c r="F198" s="9" t="s">
        <v>4</v>
      </c>
      <c r="G198" s="9" t="s">
        <v>5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11</v>
      </c>
      <c r="N198" s="9" t="s">
        <v>12</v>
      </c>
      <c r="O198" s="9" t="s">
        <v>13</v>
      </c>
      <c r="P198" s="9" t="s">
        <v>14</v>
      </c>
      <c r="Q198" s="9" t="s">
        <v>15</v>
      </c>
      <c r="R198" s="9" t="s">
        <v>16</v>
      </c>
      <c r="S198" s="9" t="s">
        <v>17</v>
      </c>
      <c r="T198" s="9" t="s">
        <v>243</v>
      </c>
      <c r="U198" s="9" t="s">
        <v>244</v>
      </c>
      <c r="V198" s="10" t="s">
        <v>134</v>
      </c>
    </row>
    <row r="199" spans="1:22" ht="18" customHeight="1">
      <c r="A199" s="13" t="s">
        <v>231</v>
      </c>
      <c r="B199" s="9">
        <f>9356-8824</f>
        <v>532</v>
      </c>
      <c r="C199" s="9">
        <f>8828-7908</f>
        <v>920</v>
      </c>
      <c r="D199" s="9">
        <f>1136-524</f>
        <v>612</v>
      </c>
      <c r="E199" s="9">
        <f>3460-1959</f>
        <v>1501</v>
      </c>
      <c r="F199" s="9">
        <f>33973-32355</f>
        <v>1618</v>
      </c>
      <c r="G199" s="9">
        <f>26977-25505</f>
        <v>1472</v>
      </c>
      <c r="H199" s="9">
        <f>80789-78277</f>
        <v>2512</v>
      </c>
      <c r="I199" s="9">
        <f>51132-48705</f>
        <v>2427</v>
      </c>
      <c r="J199" s="9">
        <f>69648-66043</f>
        <v>3605</v>
      </c>
      <c r="K199" s="9">
        <f>13367-12303</f>
        <v>1064</v>
      </c>
      <c r="L199" s="9">
        <f>37403-35192</f>
        <v>2211</v>
      </c>
      <c r="M199" s="9">
        <f>64160-63275+53395-51679+84493-81985</f>
        <v>5109</v>
      </c>
      <c r="N199" s="9">
        <f>30044-29434</f>
        <v>610</v>
      </c>
      <c r="O199" s="9">
        <f>57767-52549+78436-72932</f>
        <v>10722</v>
      </c>
      <c r="P199" s="9">
        <f>73007-71157+72459-70309</f>
        <v>4000</v>
      </c>
      <c r="Q199" s="9">
        <f>73797-69663</f>
        <v>4134</v>
      </c>
      <c r="R199" s="9">
        <f>67872-66446</f>
        <v>1426</v>
      </c>
      <c r="S199" s="9">
        <f>26381-25730</f>
        <v>651</v>
      </c>
      <c r="T199" s="9">
        <v>0</v>
      </c>
      <c r="U199" s="9">
        <v>0</v>
      </c>
      <c r="V199" s="9">
        <f aca="true" t="shared" si="27" ref="V199:V210">SUM(B199:U199)</f>
        <v>45126</v>
      </c>
    </row>
    <row r="200" spans="1:22" ht="18" customHeight="1">
      <c r="A200" s="13" t="s">
        <v>232</v>
      </c>
      <c r="B200" s="9">
        <f>9825-9356</f>
        <v>469</v>
      </c>
      <c r="C200" s="9">
        <f>9674-8828</f>
        <v>846</v>
      </c>
      <c r="D200" s="9">
        <f>1389-1136</f>
        <v>253</v>
      </c>
      <c r="E200" s="9">
        <f>4455-3460</f>
        <v>995</v>
      </c>
      <c r="F200" s="9">
        <f>35233-33973</f>
        <v>1260</v>
      </c>
      <c r="G200" s="9">
        <f>28047-26977</f>
        <v>1070</v>
      </c>
      <c r="H200" s="9">
        <f>83056-80789</f>
        <v>2267</v>
      </c>
      <c r="I200" s="9">
        <f>52851-51132</f>
        <v>1719</v>
      </c>
      <c r="J200" s="9">
        <f>72092-69648</f>
        <v>2444</v>
      </c>
      <c r="K200" s="9">
        <f>14008-13367</f>
        <v>641</v>
      </c>
      <c r="L200" s="9">
        <f>38637-37403</f>
        <v>1234</v>
      </c>
      <c r="M200" s="9">
        <f>65381-64160+54810-53395+86441-84493</f>
        <v>4584</v>
      </c>
      <c r="N200" s="9">
        <f>30594-30044</f>
        <v>550</v>
      </c>
      <c r="O200" s="9">
        <f>61470-57767+82402-78436</f>
        <v>7669</v>
      </c>
      <c r="P200" s="9">
        <f>74119-73007+73794-72459</f>
        <v>2447</v>
      </c>
      <c r="Q200" s="9">
        <f>76912-73797</f>
        <v>3115</v>
      </c>
      <c r="R200" s="9">
        <f>68890-67872</f>
        <v>1018</v>
      </c>
      <c r="S200" s="9">
        <f>26754-26381</f>
        <v>373</v>
      </c>
      <c r="T200" s="9">
        <v>0</v>
      </c>
      <c r="U200" s="9">
        <v>0</v>
      </c>
      <c r="V200" s="9">
        <f t="shared" si="27"/>
        <v>32954</v>
      </c>
    </row>
    <row r="201" spans="1:22" ht="18" customHeight="1">
      <c r="A201" s="13" t="s">
        <v>233</v>
      </c>
      <c r="B201" s="9">
        <f>10451-9825</f>
        <v>626</v>
      </c>
      <c r="C201" s="9">
        <f>10779-9674</f>
        <v>1105</v>
      </c>
      <c r="D201" s="9">
        <f>1746-1389</f>
        <v>357</v>
      </c>
      <c r="E201" s="9">
        <f>6277-4455</f>
        <v>1822</v>
      </c>
      <c r="F201" s="9">
        <f>37410-35233</f>
        <v>2177</v>
      </c>
      <c r="G201" s="9">
        <f>30101-28047</f>
        <v>2054</v>
      </c>
      <c r="H201" s="9">
        <f>85908-83056</f>
        <v>2852</v>
      </c>
      <c r="I201" s="9">
        <f>55595-52851</f>
        <v>2744</v>
      </c>
      <c r="J201" s="9">
        <f>75939-72092</f>
        <v>3847</v>
      </c>
      <c r="K201" s="9">
        <f>15310-14008</f>
        <v>1302</v>
      </c>
      <c r="L201" s="9">
        <f>41189-38637</f>
        <v>2552</v>
      </c>
      <c r="M201" s="9">
        <f>66420-65381+56738-54810+89218-86441</f>
        <v>5744</v>
      </c>
      <c r="N201" s="9">
        <f>31316-30594</f>
        <v>722</v>
      </c>
      <c r="O201" s="9">
        <f>66932-61470+88267-82402</f>
        <v>11327</v>
      </c>
      <c r="P201" s="9">
        <f>76225-74119+76207-73794</f>
        <v>4519</v>
      </c>
      <c r="Q201" s="9">
        <f>81034-76912</f>
        <v>4122</v>
      </c>
      <c r="R201" s="9">
        <f>70706-68890</f>
        <v>1816</v>
      </c>
      <c r="S201" s="9">
        <f>27562-26754</f>
        <v>808</v>
      </c>
      <c r="T201" s="9">
        <v>0</v>
      </c>
      <c r="U201" s="9">
        <v>0</v>
      </c>
      <c r="V201" s="9">
        <f t="shared" si="27"/>
        <v>50496</v>
      </c>
    </row>
    <row r="202" spans="1:22" ht="18" customHeight="1">
      <c r="A202" s="13" t="s">
        <v>234</v>
      </c>
      <c r="B202" s="9">
        <f>1045-451</f>
        <v>594</v>
      </c>
      <c r="C202" s="9">
        <f>1783-779</f>
        <v>1004</v>
      </c>
      <c r="D202" s="9">
        <f>2078-1746</f>
        <v>332</v>
      </c>
      <c r="E202" s="9">
        <f>7841-6277</f>
        <v>1564</v>
      </c>
      <c r="F202" s="9">
        <f>39398-37410</f>
        <v>1988</v>
      </c>
      <c r="G202" s="9">
        <f>31942-30101</f>
        <v>1841</v>
      </c>
      <c r="H202" s="9">
        <f>88511-85908</f>
        <v>2603</v>
      </c>
      <c r="I202" s="9">
        <f>58131-55595</f>
        <v>2536</v>
      </c>
      <c r="J202" s="9">
        <f>79533-75939</f>
        <v>3594</v>
      </c>
      <c r="K202" s="9">
        <f>16487-15310</f>
        <v>1177</v>
      </c>
      <c r="L202" s="9">
        <f>43415-41189</f>
        <v>2226</v>
      </c>
      <c r="M202" s="9">
        <f>67946-66420+58320-56738+91756-89218</f>
        <v>5646</v>
      </c>
      <c r="N202" s="9">
        <f>31968-31316</f>
        <v>652</v>
      </c>
      <c r="O202" s="9">
        <f>72225-66932+93848-88267</f>
        <v>10874</v>
      </c>
      <c r="P202" s="9">
        <f>78159-76225+78392-76207</f>
        <v>4119</v>
      </c>
      <c r="Q202" s="9">
        <f>84763-81034</f>
        <v>3729</v>
      </c>
      <c r="R202" s="9">
        <f>72289-70706</f>
        <v>1583</v>
      </c>
      <c r="S202" s="9">
        <f>28302-27562</f>
        <v>740</v>
      </c>
      <c r="T202" s="9">
        <v>0</v>
      </c>
      <c r="U202" s="9">
        <v>0</v>
      </c>
      <c r="V202" s="9">
        <f t="shared" si="27"/>
        <v>46802</v>
      </c>
    </row>
    <row r="203" spans="1:22" ht="18" customHeight="1">
      <c r="A203" s="13" t="s">
        <v>235</v>
      </c>
      <c r="B203" s="9">
        <f>1529-1045</f>
        <v>484</v>
      </c>
      <c r="C203" s="9">
        <f>2588-1783</f>
        <v>805</v>
      </c>
      <c r="D203" s="9">
        <f>2309-2078</f>
        <v>231</v>
      </c>
      <c r="E203" s="9">
        <f>9078-7841</f>
        <v>1237</v>
      </c>
      <c r="F203" s="9">
        <f>40971-39398</f>
        <v>1573</v>
      </c>
      <c r="G203" s="9">
        <f>33542-31942</f>
        <v>1600</v>
      </c>
      <c r="H203" s="9">
        <f>90369-88511</f>
        <v>1858</v>
      </c>
      <c r="I203" s="9">
        <f>60349-58131</f>
        <v>2218</v>
      </c>
      <c r="J203" s="9">
        <f>82329-79533</f>
        <v>2796</v>
      </c>
      <c r="K203" s="9">
        <f>17358-16487</f>
        <v>871</v>
      </c>
      <c r="L203" s="9">
        <f>45160-43415</f>
        <v>1745</v>
      </c>
      <c r="M203" s="9">
        <f>69736-67946+58993-58320+94120-91756</f>
        <v>4827</v>
      </c>
      <c r="N203" s="9">
        <f>32406-31968</f>
        <v>438</v>
      </c>
      <c r="O203" s="9">
        <f>76279-72225+98024-93848</f>
        <v>8230</v>
      </c>
      <c r="P203" s="9">
        <f>79685-78159+80133-78392</f>
        <v>3267</v>
      </c>
      <c r="Q203" s="9">
        <f>87611-84763</f>
        <v>2848</v>
      </c>
      <c r="R203" s="9">
        <f>73521-72289</f>
        <v>1232</v>
      </c>
      <c r="S203" s="9">
        <f>28831-28302</f>
        <v>529</v>
      </c>
      <c r="T203" s="9">
        <v>0</v>
      </c>
      <c r="U203" s="9">
        <v>0</v>
      </c>
      <c r="V203" s="9">
        <f t="shared" si="27"/>
        <v>36789</v>
      </c>
    </row>
    <row r="204" spans="1:22" ht="18" customHeight="1">
      <c r="A204" s="13" t="s">
        <v>236</v>
      </c>
      <c r="B204" s="9">
        <f>1921-1529</f>
        <v>392</v>
      </c>
      <c r="C204" s="9">
        <f>3199-2588</f>
        <v>611</v>
      </c>
      <c r="D204" s="9">
        <f>2483-2309</f>
        <v>174</v>
      </c>
      <c r="E204" s="9">
        <f>9954-9078</f>
        <v>876</v>
      </c>
      <c r="F204" s="9">
        <f>42197-40971</f>
        <v>1226</v>
      </c>
      <c r="G204" s="9">
        <f>34810-33542</f>
        <v>1268</v>
      </c>
      <c r="H204" s="9">
        <f>91830-90369</f>
        <v>1461</v>
      </c>
      <c r="I204" s="9">
        <f>62217-60349</f>
        <v>1868</v>
      </c>
      <c r="J204" s="9">
        <f>84406-82329</f>
        <v>2077</v>
      </c>
      <c r="K204" s="9">
        <f>17979-17358</f>
        <v>621</v>
      </c>
      <c r="L204" s="9">
        <f>46539-45160</f>
        <v>1379</v>
      </c>
      <c r="M204" s="9">
        <f>71389-69736+59364-58993+96172-94120</f>
        <v>4076</v>
      </c>
      <c r="N204" s="9">
        <f>32727-32406</f>
        <v>321</v>
      </c>
      <c r="O204" s="9">
        <f>79423-76279+101247-98024</f>
        <v>6367</v>
      </c>
      <c r="P204" s="9">
        <f>81003-79685+81640-80133</f>
        <v>2825</v>
      </c>
      <c r="Q204" s="9">
        <f>89877-87611</f>
        <v>2266</v>
      </c>
      <c r="R204" s="9">
        <f>74517-73521</f>
        <v>996</v>
      </c>
      <c r="S204" s="9">
        <f>29236-28831</f>
        <v>405</v>
      </c>
      <c r="T204" s="9">
        <v>0</v>
      </c>
      <c r="U204" s="9">
        <v>0</v>
      </c>
      <c r="V204" s="9">
        <f t="shared" si="27"/>
        <v>29209</v>
      </c>
    </row>
    <row r="205" spans="1:22" ht="18" customHeight="1">
      <c r="A205" s="13" t="s">
        <v>237</v>
      </c>
      <c r="B205" s="9">
        <f>2210-1921</f>
        <v>289</v>
      </c>
      <c r="C205" s="9">
        <f>3698-3199</f>
        <v>499</v>
      </c>
      <c r="D205" s="9">
        <f>2594-2483</f>
        <v>111</v>
      </c>
      <c r="E205" s="9">
        <f>10384-9954</f>
        <v>430</v>
      </c>
      <c r="F205" s="9">
        <f>42581-42197</f>
        <v>384</v>
      </c>
      <c r="G205" s="9">
        <f>35147-34810</f>
        <v>337</v>
      </c>
      <c r="H205" s="9">
        <f>92936-91830</f>
        <v>1106</v>
      </c>
      <c r="I205" s="9">
        <f>63328-62217</f>
        <v>1111</v>
      </c>
      <c r="J205" s="9">
        <f>86552-84406</f>
        <v>2146</v>
      </c>
      <c r="K205" s="9">
        <f>18256-17979</f>
        <v>277</v>
      </c>
      <c r="L205" s="9">
        <f>46929-46539</f>
        <v>390</v>
      </c>
      <c r="M205" s="9">
        <f>72705-71389+59694-59364+97841-96172</f>
        <v>3315</v>
      </c>
      <c r="N205" s="9">
        <f>32771-32727</f>
        <v>44</v>
      </c>
      <c r="O205" s="9">
        <f>81057-79423+102879-101247</f>
        <v>3266</v>
      </c>
      <c r="P205" s="9">
        <f>81659-81003+82402-81640</f>
        <v>1418</v>
      </c>
      <c r="Q205" s="9">
        <f>91595-89877</f>
        <v>1718</v>
      </c>
      <c r="R205" s="9">
        <f>75085-74517</f>
        <v>568</v>
      </c>
      <c r="S205" s="9">
        <f>29249-29236</f>
        <v>13</v>
      </c>
      <c r="T205" s="9">
        <f>34493-33307</f>
        <v>1186</v>
      </c>
      <c r="U205" s="9">
        <f>34493-33307</f>
        <v>1186</v>
      </c>
      <c r="V205" s="9">
        <f t="shared" si="27"/>
        <v>19794</v>
      </c>
    </row>
    <row r="206" spans="1:22" ht="18" customHeight="1">
      <c r="A206" s="13" t="s">
        <v>238</v>
      </c>
      <c r="B206" s="9">
        <f>2511-2210</f>
        <v>301</v>
      </c>
      <c r="C206" s="9">
        <f>4241-3698</f>
        <v>543</v>
      </c>
      <c r="D206" s="9">
        <f>2714-2594</f>
        <v>120</v>
      </c>
      <c r="E206" s="9">
        <f>10820-10384</f>
        <v>436</v>
      </c>
      <c r="F206" s="9">
        <f>42871-42581</f>
        <v>290</v>
      </c>
      <c r="G206" s="9">
        <f>35373-35147</f>
        <v>226</v>
      </c>
      <c r="H206" s="9">
        <f>94151-92936</f>
        <v>1215</v>
      </c>
      <c r="I206" s="9">
        <f>64533-63328</f>
        <v>1205</v>
      </c>
      <c r="J206" s="9">
        <f>88323-86552</f>
        <v>1771</v>
      </c>
      <c r="K206" s="9">
        <f>18514-18256</f>
        <v>258</v>
      </c>
      <c r="L206" s="9">
        <f>47422-46929</f>
        <v>493</v>
      </c>
      <c r="M206" s="9">
        <f>74365-72705+60028-59694+99520-97841</f>
        <v>3673</v>
      </c>
      <c r="N206" s="9">
        <v>0</v>
      </c>
      <c r="O206" s="9">
        <f>82672-81057+104518-102879</f>
        <v>3254</v>
      </c>
      <c r="P206" s="9">
        <f>82266-81659+83114-82402</f>
        <v>1319</v>
      </c>
      <c r="Q206" s="9">
        <f>93334-91595</f>
        <v>1739</v>
      </c>
      <c r="R206" s="9">
        <f>75628-75085</f>
        <v>543</v>
      </c>
      <c r="S206" s="9">
        <f>29520-29249</f>
        <v>271</v>
      </c>
      <c r="T206" s="9">
        <f>35724-34493</f>
        <v>1231</v>
      </c>
      <c r="U206" s="9">
        <f>35724-34493</f>
        <v>1231</v>
      </c>
      <c r="V206" s="9">
        <f t="shared" si="27"/>
        <v>20119</v>
      </c>
    </row>
    <row r="207" spans="1:22" ht="18" customHeight="1">
      <c r="A207" s="13" t="s">
        <v>239</v>
      </c>
      <c r="B207" s="9">
        <f>2795-2511</f>
        <v>284</v>
      </c>
      <c r="C207" s="9">
        <f>4741-4241</f>
        <v>500</v>
      </c>
      <c r="D207" s="9">
        <f>2830-2714</f>
        <v>116</v>
      </c>
      <c r="E207" s="9">
        <f>1414-820</f>
        <v>594</v>
      </c>
      <c r="F207" s="9">
        <f>43445-42871</f>
        <v>574</v>
      </c>
      <c r="G207" s="9">
        <f>36134-35373</f>
        <v>761</v>
      </c>
      <c r="H207" s="9">
        <f>95347-94151</f>
        <v>1196</v>
      </c>
      <c r="I207" s="9">
        <f>65999-64533</f>
        <v>1466</v>
      </c>
      <c r="J207" s="9">
        <f>90303-88323</f>
        <v>1980</v>
      </c>
      <c r="K207" s="9">
        <f>18846-18514</f>
        <v>332</v>
      </c>
      <c r="L207" s="9">
        <f>48043-47422</f>
        <v>621</v>
      </c>
      <c r="M207" s="9">
        <f>76077-74365+60551-60028+100939-99520</f>
        <v>3654</v>
      </c>
      <c r="N207" s="9">
        <v>0</v>
      </c>
      <c r="O207" s="9">
        <f>84548-82672+6558-4518</f>
        <v>3916</v>
      </c>
      <c r="P207" s="9">
        <f>83054-82266+84038-83114</f>
        <v>1712</v>
      </c>
      <c r="Q207" s="9">
        <f>94944-93334</f>
        <v>1610</v>
      </c>
      <c r="R207" s="9">
        <f>76308-75628</f>
        <v>680</v>
      </c>
      <c r="S207" s="9">
        <f>29769-29520</f>
        <v>249</v>
      </c>
      <c r="T207" s="9">
        <f>37163-35724</f>
        <v>1439</v>
      </c>
      <c r="U207" s="9">
        <f>36290-34705</f>
        <v>1585</v>
      </c>
      <c r="V207" s="9">
        <f t="shared" si="27"/>
        <v>23269</v>
      </c>
    </row>
    <row r="208" spans="1:22" ht="18" customHeight="1">
      <c r="A208" s="13" t="s">
        <v>240</v>
      </c>
      <c r="B208" s="8">
        <f>3199-2795</f>
        <v>404</v>
      </c>
      <c r="C208" s="54">
        <f>5422-4741</f>
        <v>681</v>
      </c>
      <c r="D208" s="54">
        <f>3008-2830</f>
        <v>178</v>
      </c>
      <c r="E208" s="54">
        <f>2324-1414</f>
        <v>910</v>
      </c>
      <c r="F208" s="33">
        <f>44482-43445</f>
        <v>1037</v>
      </c>
      <c r="G208" s="54">
        <f>37368-36134</f>
        <v>1234</v>
      </c>
      <c r="H208" s="54">
        <f>97133-95347</f>
        <v>1786</v>
      </c>
      <c r="I208" s="54">
        <f>67866-65999</f>
        <v>1867</v>
      </c>
      <c r="J208" s="55">
        <f>93029-90303</f>
        <v>2726</v>
      </c>
      <c r="K208" s="54">
        <f>19370-18846</f>
        <v>524</v>
      </c>
      <c r="L208" s="54">
        <f>49163-48043</f>
        <v>1120</v>
      </c>
      <c r="M208" s="54">
        <f>78447-76077+61099-60551+2017-939</f>
        <v>3996</v>
      </c>
      <c r="N208" s="9">
        <v>0</v>
      </c>
      <c r="O208" s="54">
        <f>87308-84548+9492-6558</f>
        <v>5694</v>
      </c>
      <c r="P208" s="54">
        <f>84223-83054+85417-84038</f>
        <v>2548</v>
      </c>
      <c r="Q208" s="54">
        <f>97227-94944</f>
        <v>2283</v>
      </c>
      <c r="R208" s="54">
        <f>77354-76308</f>
        <v>1046</v>
      </c>
      <c r="S208" s="54">
        <f>30220-29769</f>
        <v>451</v>
      </c>
      <c r="T208" s="9">
        <f>39405-37163</f>
        <v>2242</v>
      </c>
      <c r="U208" s="9">
        <f>38537-36290</f>
        <v>2247</v>
      </c>
      <c r="V208" s="9">
        <f t="shared" si="27"/>
        <v>32974</v>
      </c>
    </row>
    <row r="209" spans="1:22" ht="18" customHeight="1">
      <c r="A209" s="13" t="s">
        <v>241</v>
      </c>
      <c r="B209" s="9">
        <f>3774-3199</f>
        <v>575</v>
      </c>
      <c r="C209" s="9">
        <f>6252-5422</f>
        <v>830</v>
      </c>
      <c r="D209" s="9">
        <f>3328-3008</f>
        <v>320</v>
      </c>
      <c r="E209" s="9">
        <f>3639-2324</f>
        <v>1315</v>
      </c>
      <c r="F209" s="9">
        <f>46174-44482</f>
        <v>1692</v>
      </c>
      <c r="G209" s="9">
        <f>39052-37368</f>
        <v>1684</v>
      </c>
      <c r="H209" s="9">
        <f>99534-97133</f>
        <v>2401</v>
      </c>
      <c r="I209" s="9">
        <f>70361-67866</f>
        <v>2495</v>
      </c>
      <c r="J209" s="9">
        <f>96425-93029</f>
        <v>3396</v>
      </c>
      <c r="K209" s="9">
        <f>20295-19370</f>
        <v>925</v>
      </c>
      <c r="L209" s="9">
        <f>50860-49163</f>
        <v>1697</v>
      </c>
      <c r="M209" s="9">
        <f>80795-78447+61814-61099+3579-2017</f>
        <v>4625</v>
      </c>
      <c r="N209" s="9">
        <v>0</v>
      </c>
      <c r="O209" s="9">
        <f>91761-87308+14321-9492</f>
        <v>9282</v>
      </c>
      <c r="P209" s="9">
        <f>85841-84223+87350-85417</f>
        <v>3551</v>
      </c>
      <c r="Q209" s="9">
        <f>100594-97227</f>
        <v>3367</v>
      </c>
      <c r="R209" s="9">
        <f>78878-77354</f>
        <v>1524</v>
      </c>
      <c r="S209" s="9">
        <f>30911-30220</f>
        <v>691</v>
      </c>
      <c r="T209" s="9">
        <f>42669-39405</f>
        <v>3264</v>
      </c>
      <c r="U209" s="9">
        <f>41791-38537</f>
        <v>3254</v>
      </c>
      <c r="V209" s="9">
        <f t="shared" si="27"/>
        <v>46888</v>
      </c>
    </row>
    <row r="210" spans="1:22" ht="18" customHeight="1">
      <c r="A210" s="13" t="s">
        <v>242</v>
      </c>
      <c r="B210" s="9">
        <f>4467-3774</f>
        <v>693</v>
      </c>
      <c r="C210" s="9">
        <f>7358-6252</f>
        <v>1106</v>
      </c>
      <c r="D210" s="9">
        <f>3720-3328</f>
        <v>392</v>
      </c>
      <c r="E210" s="9">
        <f>5471-3639</f>
        <v>1832</v>
      </c>
      <c r="F210" s="9">
        <f>48615-46174</f>
        <v>2441</v>
      </c>
      <c r="G210" s="9">
        <f>41242-39052</f>
        <v>2190</v>
      </c>
      <c r="H210" s="9">
        <f>102593-99534</f>
        <v>3059</v>
      </c>
      <c r="I210" s="9">
        <f>73307-70361</f>
        <v>2946</v>
      </c>
      <c r="J210" s="9">
        <f>100595-96425</f>
        <v>4170</v>
      </c>
      <c r="K210" s="9">
        <f>21602-20295</f>
        <v>1307</v>
      </c>
      <c r="L210" s="9">
        <f>53141-50860</f>
        <v>2281</v>
      </c>
      <c r="M210" s="9">
        <f>83307-80795+62859-61814+5591-3579</f>
        <v>5569</v>
      </c>
      <c r="N210" s="9">
        <v>0</v>
      </c>
      <c r="O210" s="9">
        <f>97575-91761+20444-14321</f>
        <v>11937</v>
      </c>
      <c r="P210" s="9">
        <f>87804-85841+89661-87350</f>
        <v>4274</v>
      </c>
      <c r="Q210" s="9">
        <f>104681-100594</f>
        <v>4087</v>
      </c>
      <c r="R210" s="9">
        <f>80707-78878</f>
        <v>1829</v>
      </c>
      <c r="S210" s="9">
        <f>31860-30911</f>
        <v>949</v>
      </c>
      <c r="T210" s="9">
        <f>46841-42669</f>
        <v>4172</v>
      </c>
      <c r="U210" s="9">
        <f>46042-41791</f>
        <v>4251</v>
      </c>
      <c r="V210" s="9">
        <f t="shared" si="27"/>
        <v>59485</v>
      </c>
    </row>
    <row r="211" spans="1:22" ht="25.5" customHeight="1">
      <c r="A211" s="73" t="s">
        <v>74</v>
      </c>
      <c r="B211" s="74">
        <f aca="true" t="shared" si="28" ref="B211:S211">SUM(B199:B210)</f>
        <v>5643</v>
      </c>
      <c r="C211" s="74">
        <f t="shared" si="28"/>
        <v>9450</v>
      </c>
      <c r="D211" s="74">
        <f t="shared" si="28"/>
        <v>3196</v>
      </c>
      <c r="E211" s="74">
        <f t="shared" si="28"/>
        <v>13512</v>
      </c>
      <c r="F211" s="74">
        <f t="shared" si="28"/>
        <v>16260</v>
      </c>
      <c r="G211" s="74">
        <f t="shared" si="28"/>
        <v>15737</v>
      </c>
      <c r="H211" s="74">
        <f t="shared" si="28"/>
        <v>24316</v>
      </c>
      <c r="I211" s="74">
        <f t="shared" si="28"/>
        <v>24602</v>
      </c>
      <c r="J211" s="74">
        <f t="shared" si="28"/>
        <v>34552</v>
      </c>
      <c r="K211" s="74">
        <f t="shared" si="28"/>
        <v>9299</v>
      </c>
      <c r="L211" s="74">
        <f t="shared" si="28"/>
        <v>17949</v>
      </c>
      <c r="M211" s="74">
        <f t="shared" si="28"/>
        <v>54818</v>
      </c>
      <c r="N211" s="74">
        <f t="shared" si="28"/>
        <v>3337</v>
      </c>
      <c r="O211" s="74">
        <f t="shared" si="28"/>
        <v>92538</v>
      </c>
      <c r="P211" s="74">
        <f t="shared" si="28"/>
        <v>35999</v>
      </c>
      <c r="Q211" s="74">
        <f t="shared" si="28"/>
        <v>35018</v>
      </c>
      <c r="R211" s="74">
        <f t="shared" si="28"/>
        <v>14261</v>
      </c>
      <c r="S211" s="74">
        <f t="shared" si="28"/>
        <v>6130</v>
      </c>
      <c r="T211" s="74">
        <f>SUM(T199:T210)</f>
        <v>13534</v>
      </c>
      <c r="U211" s="74">
        <f>SUM(U199:U210)</f>
        <v>13754</v>
      </c>
      <c r="V211" s="74">
        <f>SUM(V199:V210)</f>
        <v>443905</v>
      </c>
    </row>
    <row r="212" spans="1:22" ht="25.5" customHeight="1">
      <c r="A212" s="75" t="s">
        <v>295</v>
      </c>
      <c r="B212" s="76">
        <f aca="true" t="shared" si="29" ref="B212:S212">B211/12</f>
        <v>470.25</v>
      </c>
      <c r="C212" s="76">
        <f t="shared" si="29"/>
        <v>787.5</v>
      </c>
      <c r="D212" s="76">
        <f t="shared" si="29"/>
        <v>266.3333333333333</v>
      </c>
      <c r="E212" s="76">
        <f t="shared" si="29"/>
        <v>1126</v>
      </c>
      <c r="F212" s="76">
        <f t="shared" si="29"/>
        <v>1355</v>
      </c>
      <c r="G212" s="76">
        <f t="shared" si="29"/>
        <v>1311.4166666666667</v>
      </c>
      <c r="H212" s="76">
        <f t="shared" si="29"/>
        <v>2026.3333333333333</v>
      </c>
      <c r="I212" s="76">
        <f t="shared" si="29"/>
        <v>2050.1666666666665</v>
      </c>
      <c r="J212" s="76">
        <f t="shared" si="29"/>
        <v>2879.3333333333335</v>
      </c>
      <c r="K212" s="76">
        <f t="shared" si="29"/>
        <v>774.9166666666666</v>
      </c>
      <c r="L212" s="76">
        <f t="shared" si="29"/>
        <v>1495.75</v>
      </c>
      <c r="M212" s="76">
        <f t="shared" si="29"/>
        <v>4568.166666666667</v>
      </c>
      <c r="N212" s="76">
        <f>N211/7</f>
        <v>476.7142857142857</v>
      </c>
      <c r="O212" s="76">
        <f t="shared" si="29"/>
        <v>7711.5</v>
      </c>
      <c r="P212" s="76">
        <f t="shared" si="29"/>
        <v>2999.9166666666665</v>
      </c>
      <c r="Q212" s="76">
        <f t="shared" si="29"/>
        <v>2918.1666666666665</v>
      </c>
      <c r="R212" s="76">
        <f t="shared" si="29"/>
        <v>1188.4166666666667</v>
      </c>
      <c r="S212" s="76">
        <f t="shared" si="29"/>
        <v>510.8333333333333</v>
      </c>
      <c r="T212" s="76">
        <f>T211/6</f>
        <v>2255.6666666666665</v>
      </c>
      <c r="U212" s="76">
        <f>U211/6</f>
        <v>2292.3333333333335</v>
      </c>
      <c r="V212" s="76">
        <f>V211/12</f>
        <v>36992.083333333336</v>
      </c>
    </row>
    <row r="213" spans="1:22" ht="25.5" customHeight="1">
      <c r="A213" s="82" t="s">
        <v>297</v>
      </c>
      <c r="B213" s="77">
        <f>B212/83</f>
        <v>5.6656626506024095</v>
      </c>
      <c r="C213" s="77">
        <f>C212/121</f>
        <v>6.508264462809917</v>
      </c>
      <c r="D213" s="77">
        <f>D212/45</f>
        <v>5.9185185185185185</v>
      </c>
      <c r="E213" s="77">
        <f>E212/199</f>
        <v>5.658291457286432</v>
      </c>
      <c r="F213" s="77">
        <f>F212/300</f>
        <v>4.516666666666667</v>
      </c>
      <c r="G213" s="77">
        <f>G212/357</f>
        <v>3.6734360410831</v>
      </c>
      <c r="H213" s="77">
        <f>H212/372</f>
        <v>5.447132616487455</v>
      </c>
      <c r="I213" s="77">
        <f>I212/314</f>
        <v>6.5291932059447975</v>
      </c>
      <c r="J213" s="77">
        <f>J212/(102+124+124)</f>
        <v>8.226666666666667</v>
      </c>
      <c r="K213" s="77">
        <f>K212/297</f>
        <v>2.609147025813692</v>
      </c>
      <c r="L213" s="77">
        <f>L212/285</f>
        <v>5.2482456140350875</v>
      </c>
      <c r="M213" s="77">
        <f>M212/448</f>
        <v>10.196800595238097</v>
      </c>
      <c r="N213" s="77">
        <f>N212/126</f>
        <v>3.7834467120181405</v>
      </c>
      <c r="O213" s="77">
        <f>O212/(232+310+357)</f>
        <v>8.577864293659621</v>
      </c>
      <c r="P213" s="77">
        <f>P212/328</f>
        <v>9.146087398373984</v>
      </c>
      <c r="Q213" s="77">
        <f>Q212/317</f>
        <v>9.205573080967403</v>
      </c>
      <c r="R213" s="77">
        <f>R212/194</f>
        <v>6.12585910652921</v>
      </c>
      <c r="S213" s="77">
        <f>S212/165</f>
        <v>3.095959595959596</v>
      </c>
      <c r="T213" s="77">
        <f>T212/(124+124+120+96)</f>
        <v>4.8613505747126435</v>
      </c>
      <c r="U213" s="77">
        <f>U212/(124+124+120+96)</f>
        <v>4.940373563218391</v>
      </c>
      <c r="V213" s="77">
        <f>V212/6003</f>
        <v>6.162266089177634</v>
      </c>
    </row>
    <row r="214" spans="1:22" ht="25.5" customHeight="1">
      <c r="A214" s="78" t="s">
        <v>294</v>
      </c>
      <c r="B214" s="77">
        <f>(14.41*6+15.39*2+15.79*2+16.19*2)/12</f>
        <v>15.1</v>
      </c>
      <c r="C214" s="77">
        <f aca="true" t="shared" si="30" ref="C214:V214">(14.41*6+15.39*2+15.79*2+16.19*2)/12</f>
        <v>15.1</v>
      </c>
      <c r="D214" s="77">
        <f t="shared" si="30"/>
        <v>15.1</v>
      </c>
      <c r="E214" s="77">
        <f t="shared" si="30"/>
        <v>15.1</v>
      </c>
      <c r="F214" s="77">
        <f t="shared" si="30"/>
        <v>15.1</v>
      </c>
      <c r="G214" s="77">
        <f t="shared" si="30"/>
        <v>15.1</v>
      </c>
      <c r="H214" s="77">
        <f t="shared" si="30"/>
        <v>15.1</v>
      </c>
      <c r="I214" s="77">
        <f t="shared" si="30"/>
        <v>15.1</v>
      </c>
      <c r="J214" s="77">
        <f t="shared" si="30"/>
        <v>15.1</v>
      </c>
      <c r="K214" s="77">
        <f t="shared" si="30"/>
        <v>15.1</v>
      </c>
      <c r="L214" s="77">
        <f t="shared" si="30"/>
        <v>15.1</v>
      </c>
      <c r="M214" s="77">
        <f t="shared" si="30"/>
        <v>15.1</v>
      </c>
      <c r="N214" s="77">
        <f t="shared" si="30"/>
        <v>15.1</v>
      </c>
      <c r="O214" s="77">
        <f t="shared" si="30"/>
        <v>15.1</v>
      </c>
      <c r="P214" s="77">
        <f t="shared" si="30"/>
        <v>15.1</v>
      </c>
      <c r="Q214" s="77">
        <f t="shared" si="30"/>
        <v>15.1</v>
      </c>
      <c r="R214" s="77">
        <f t="shared" si="30"/>
        <v>15.1</v>
      </c>
      <c r="S214" s="77">
        <f t="shared" si="30"/>
        <v>15.1</v>
      </c>
      <c r="T214" s="77">
        <f t="shared" si="30"/>
        <v>15.1</v>
      </c>
      <c r="U214" s="77">
        <f t="shared" si="30"/>
        <v>15.1</v>
      </c>
      <c r="V214" s="77">
        <f t="shared" si="30"/>
        <v>15.1</v>
      </c>
    </row>
    <row r="215" spans="1:22" ht="25.5" customHeight="1">
      <c r="A215" s="82" t="s">
        <v>298</v>
      </c>
      <c r="B215" s="77">
        <f aca="true" t="shared" si="31" ref="B215:V215">B213*B214</f>
        <v>85.55150602409638</v>
      </c>
      <c r="C215" s="77">
        <f t="shared" si="31"/>
        <v>98.27479338842974</v>
      </c>
      <c r="D215" s="77">
        <f t="shared" si="31"/>
        <v>89.36962962962963</v>
      </c>
      <c r="E215" s="77">
        <f t="shared" si="31"/>
        <v>85.44020100502512</v>
      </c>
      <c r="F215" s="77">
        <f t="shared" si="31"/>
        <v>68.20166666666667</v>
      </c>
      <c r="G215" s="77">
        <f t="shared" si="31"/>
        <v>55.46888422035481</v>
      </c>
      <c r="H215" s="77">
        <f t="shared" si="31"/>
        <v>82.25170250896056</v>
      </c>
      <c r="I215" s="77">
        <f t="shared" si="31"/>
        <v>98.59081740976644</v>
      </c>
      <c r="J215" s="77">
        <f t="shared" si="31"/>
        <v>124.22266666666667</v>
      </c>
      <c r="K215" s="77">
        <f t="shared" si="31"/>
        <v>39.39812008978675</v>
      </c>
      <c r="L215" s="77">
        <f t="shared" si="31"/>
        <v>79.24850877192982</v>
      </c>
      <c r="M215" s="77">
        <f t="shared" si="31"/>
        <v>153.97168898809525</v>
      </c>
      <c r="N215" s="77">
        <f t="shared" si="31"/>
        <v>57.13004535147392</v>
      </c>
      <c r="O215" s="77">
        <f t="shared" si="31"/>
        <v>129.52575083426026</v>
      </c>
      <c r="P215" s="77">
        <f t="shared" si="31"/>
        <v>138.10591971544716</v>
      </c>
      <c r="Q215" s="77">
        <f t="shared" si="31"/>
        <v>139.00415352260777</v>
      </c>
      <c r="R215" s="77">
        <f t="shared" si="31"/>
        <v>92.50047250859106</v>
      </c>
      <c r="S215" s="77">
        <f t="shared" si="31"/>
        <v>46.7489898989899</v>
      </c>
      <c r="T215" s="77">
        <f t="shared" si="31"/>
        <v>73.40639367816091</v>
      </c>
      <c r="U215" s="77">
        <f t="shared" si="31"/>
        <v>74.5996408045977</v>
      </c>
      <c r="V215" s="77">
        <f t="shared" si="31"/>
        <v>93.05021794658226</v>
      </c>
    </row>
    <row r="216" spans="1:22" ht="25.5" customHeight="1">
      <c r="A216" s="79" t="s">
        <v>296</v>
      </c>
      <c r="B216" s="58">
        <f aca="true" t="shared" si="32" ref="B216:V216">B215*12/2.5</f>
        <v>410.6472289156626</v>
      </c>
      <c r="C216" s="58">
        <f t="shared" si="32"/>
        <v>471.71900826446273</v>
      </c>
      <c r="D216" s="58">
        <f t="shared" si="32"/>
        <v>428.97422222222224</v>
      </c>
      <c r="E216" s="58">
        <f t="shared" si="32"/>
        <v>410.1129648241205</v>
      </c>
      <c r="F216" s="58">
        <f t="shared" si="32"/>
        <v>327.36800000000005</v>
      </c>
      <c r="G216" s="58">
        <f t="shared" si="32"/>
        <v>266.2506442577031</v>
      </c>
      <c r="H216" s="58">
        <f t="shared" si="32"/>
        <v>394.8081720430107</v>
      </c>
      <c r="I216" s="58">
        <f t="shared" si="32"/>
        <v>473.23592356687897</v>
      </c>
      <c r="J216" s="58">
        <f t="shared" si="32"/>
        <v>596.2688</v>
      </c>
      <c r="K216" s="58">
        <f t="shared" si="32"/>
        <v>189.11097643097642</v>
      </c>
      <c r="L216" s="58">
        <f t="shared" si="32"/>
        <v>380.3928421052631</v>
      </c>
      <c r="M216" s="58">
        <f t="shared" si="32"/>
        <v>739.0641071428572</v>
      </c>
      <c r="N216" s="58">
        <f t="shared" si="32"/>
        <v>274.2242176870748</v>
      </c>
      <c r="O216" s="58">
        <f t="shared" si="32"/>
        <v>621.7236040044493</v>
      </c>
      <c r="P216" s="58">
        <f t="shared" si="32"/>
        <v>662.9084146341463</v>
      </c>
      <c r="Q216" s="58">
        <f t="shared" si="32"/>
        <v>667.2199369085172</v>
      </c>
      <c r="R216" s="58">
        <f t="shared" si="32"/>
        <v>444.002268041237</v>
      </c>
      <c r="S216" s="58">
        <f t="shared" si="32"/>
        <v>224.39515151515153</v>
      </c>
      <c r="T216" s="58">
        <f t="shared" si="32"/>
        <v>352.3506896551724</v>
      </c>
      <c r="U216" s="58">
        <f t="shared" si="32"/>
        <v>358.07827586206895</v>
      </c>
      <c r="V216" s="96">
        <f t="shared" si="32"/>
        <v>446.64104614359485</v>
      </c>
    </row>
    <row r="217" spans="1:21" ht="25.5" customHeight="1">
      <c r="A217" s="81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</row>
    <row r="218" ht="18" customHeight="1"/>
    <row r="219" spans="1:22" ht="18" customHeight="1">
      <c r="A219" s="9" t="s">
        <v>18</v>
      </c>
      <c r="B219" s="9" t="s">
        <v>0</v>
      </c>
      <c r="C219" s="9" t="s">
        <v>1</v>
      </c>
      <c r="D219" s="9" t="s">
        <v>2</v>
      </c>
      <c r="E219" s="9" t="s">
        <v>3</v>
      </c>
      <c r="F219" s="9" t="s">
        <v>4</v>
      </c>
      <c r="G219" s="9" t="s">
        <v>5</v>
      </c>
      <c r="H219" s="9" t="s">
        <v>6</v>
      </c>
      <c r="I219" s="9" t="s">
        <v>7</v>
      </c>
      <c r="J219" s="9" t="s">
        <v>8</v>
      </c>
      <c r="K219" s="9" t="s">
        <v>9</v>
      </c>
      <c r="L219" s="9" t="s">
        <v>10</v>
      </c>
      <c r="M219" s="9" t="s">
        <v>11</v>
      </c>
      <c r="N219" s="9" t="s">
        <v>12</v>
      </c>
      <c r="O219" s="9" t="s">
        <v>13</v>
      </c>
      <c r="P219" s="9" t="s">
        <v>14</v>
      </c>
      <c r="Q219" s="9" t="s">
        <v>15</v>
      </c>
      <c r="R219" s="9" t="s">
        <v>16</v>
      </c>
      <c r="S219" s="9" t="s">
        <v>17</v>
      </c>
      <c r="T219" s="9" t="s">
        <v>243</v>
      </c>
      <c r="U219" s="9" t="s">
        <v>244</v>
      </c>
      <c r="V219" s="10" t="s">
        <v>134</v>
      </c>
    </row>
    <row r="220" spans="1:22" ht="18" customHeight="1">
      <c r="A220" s="13" t="s">
        <v>258</v>
      </c>
      <c r="B220" s="9">
        <f>5201-4467</f>
        <v>734</v>
      </c>
      <c r="C220" s="9">
        <f>8586-7358</f>
        <v>1228</v>
      </c>
      <c r="D220" s="9">
        <f>4115-3720</f>
        <v>395</v>
      </c>
      <c r="E220" s="9">
        <f>7259-5471</f>
        <v>1788</v>
      </c>
      <c r="F220" s="9">
        <f>51096-48615</f>
        <v>2481</v>
      </c>
      <c r="G220" s="9">
        <f>43351-41242</f>
        <v>2109</v>
      </c>
      <c r="H220" s="9">
        <f>6063-2593</f>
        <v>3470</v>
      </c>
      <c r="I220" s="9">
        <f>76241-73307</f>
        <v>2934</v>
      </c>
      <c r="J220" s="9">
        <f>3442-595</f>
        <v>2847</v>
      </c>
      <c r="K220" s="9">
        <f>22779-21602</f>
        <v>1177</v>
      </c>
      <c r="L220" s="9">
        <f>55449-53141</f>
        <v>2308</v>
      </c>
      <c r="M220" s="9">
        <f>85399-83307+63391-62859+7440-5591</f>
        <v>4473</v>
      </c>
      <c r="N220" s="9">
        <v>0</v>
      </c>
      <c r="O220" s="9">
        <f>103571-97575+26693-20444</f>
        <v>12245</v>
      </c>
      <c r="P220" s="9">
        <f>89695-87804+91900-89661</f>
        <v>4130</v>
      </c>
      <c r="Q220" s="9">
        <f>9163-4681</f>
        <v>4482</v>
      </c>
      <c r="R220" s="9">
        <f>82490-80707</f>
        <v>1783</v>
      </c>
      <c r="S220" s="9">
        <f>32876-31860</f>
        <v>1016</v>
      </c>
      <c r="T220" s="9">
        <f>51490-46841</f>
        <v>4649</v>
      </c>
      <c r="U220" s="9">
        <f>51140-46042</f>
        <v>5098</v>
      </c>
      <c r="V220" s="9">
        <f aca="true" t="shared" si="33" ref="V220:V231">SUM(B220:U220)</f>
        <v>59347</v>
      </c>
    </row>
    <row r="221" spans="1:22" ht="18" customHeight="1">
      <c r="A221" s="13" t="s">
        <v>259</v>
      </c>
      <c r="B221" s="9">
        <f>5615-5201</f>
        <v>414</v>
      </c>
      <c r="C221" s="9">
        <f>9307-8586</f>
        <v>721</v>
      </c>
      <c r="D221" s="9">
        <f>4354-4115</f>
        <v>239</v>
      </c>
      <c r="E221" s="9">
        <f>8004-7259</f>
        <v>745</v>
      </c>
      <c r="F221" s="9">
        <f>52254-51096</f>
        <v>1158</v>
      </c>
      <c r="G221" s="9">
        <f>44335-43351</f>
        <v>984</v>
      </c>
      <c r="H221" s="9">
        <f>7838-6063</f>
        <v>1775</v>
      </c>
      <c r="I221" s="9">
        <f>77487-76241</f>
        <v>1246</v>
      </c>
      <c r="J221" s="9">
        <f>0</f>
        <v>0</v>
      </c>
      <c r="K221" s="9">
        <f>23411-22779</f>
        <v>632</v>
      </c>
      <c r="L221" s="9">
        <f>56604-55449</f>
        <v>1155</v>
      </c>
      <c r="M221" s="9">
        <f>86735-85399+63656-63391+8245-7440</f>
        <v>2406</v>
      </c>
      <c r="N221" s="9">
        <v>0</v>
      </c>
      <c r="O221" s="9">
        <f>6376-3571+29599-26693</f>
        <v>5711</v>
      </c>
      <c r="P221" s="9">
        <f>90814-89695+93248-91900</f>
        <v>2467</v>
      </c>
      <c r="Q221" s="9">
        <f>11722-9163</f>
        <v>2559</v>
      </c>
      <c r="R221" s="9">
        <f>83321-82490</f>
        <v>831</v>
      </c>
      <c r="S221" s="9">
        <f>33263-32876</f>
        <v>387</v>
      </c>
      <c r="T221" s="9">
        <f>53802-51490</f>
        <v>2312</v>
      </c>
      <c r="U221" s="9">
        <f>53710-51140</f>
        <v>2570</v>
      </c>
      <c r="V221" s="9">
        <f t="shared" si="33"/>
        <v>28312</v>
      </c>
    </row>
    <row r="222" spans="1:22" ht="18" customHeight="1">
      <c r="A222" s="13" t="s">
        <v>260</v>
      </c>
      <c r="B222" s="9">
        <f>6264-5615</f>
        <v>649</v>
      </c>
      <c r="C222" s="9">
        <f>10392-9307</f>
        <v>1085</v>
      </c>
      <c r="D222" s="9">
        <f>4754-4354</f>
        <v>400</v>
      </c>
      <c r="E222" s="9">
        <f>9890-8004</f>
        <v>1886</v>
      </c>
      <c r="F222" s="9">
        <f>54807-52254</f>
        <v>2553</v>
      </c>
      <c r="G222" s="9">
        <f>46546-44335</f>
        <v>2211</v>
      </c>
      <c r="H222" s="9">
        <f>10716-7838</f>
        <v>2878</v>
      </c>
      <c r="I222" s="9">
        <f>80208-77487</f>
        <v>2721</v>
      </c>
      <c r="J222" s="9">
        <v>213</v>
      </c>
      <c r="K222" s="9">
        <f>24763-23411</f>
        <v>1352</v>
      </c>
      <c r="L222" s="9">
        <f>58889-56604</f>
        <v>2285</v>
      </c>
      <c r="M222" s="9">
        <f>88669-86735+64108-63656+9653-8245</f>
        <v>3794</v>
      </c>
      <c r="N222" s="9">
        <v>0</v>
      </c>
      <c r="O222" s="9">
        <f>12056-6376+35462-29599</f>
        <v>11543</v>
      </c>
      <c r="P222" s="9">
        <f>92723-90814+95460-93248</f>
        <v>4121</v>
      </c>
      <c r="Q222" s="9">
        <f>15191-11722</f>
        <v>3469</v>
      </c>
      <c r="R222" s="9">
        <f>85036-83321</f>
        <v>1715</v>
      </c>
      <c r="S222" s="9">
        <f>34125-33263</f>
        <v>862</v>
      </c>
      <c r="T222" s="9">
        <f>58033-53802</f>
        <v>4231</v>
      </c>
      <c r="U222" s="9">
        <f>57948-53710</f>
        <v>4238</v>
      </c>
      <c r="V222" s="9">
        <f t="shared" si="33"/>
        <v>52206</v>
      </c>
    </row>
    <row r="223" spans="1:22" ht="18" customHeight="1">
      <c r="A223" s="13" t="s">
        <v>261</v>
      </c>
      <c r="B223" s="9">
        <f>6910-6264</f>
        <v>646</v>
      </c>
      <c r="C223" s="9">
        <f>11446-10392</f>
        <v>1054</v>
      </c>
      <c r="D223" s="9">
        <f>5004-4754</f>
        <v>250</v>
      </c>
      <c r="E223" s="9">
        <f>11671-9890</f>
        <v>1781</v>
      </c>
      <c r="F223" s="9">
        <f>57176-54807</f>
        <v>2369</v>
      </c>
      <c r="G223" s="9">
        <f>48620-46546</f>
        <v>2074</v>
      </c>
      <c r="H223" s="9">
        <f>13649-10716</f>
        <v>2933</v>
      </c>
      <c r="I223" s="9">
        <f>82835-80208</f>
        <v>2627</v>
      </c>
      <c r="J223" s="9">
        <f>6055-213</f>
        <v>5842</v>
      </c>
      <c r="K223" s="9">
        <f>26068-24763</f>
        <v>1305</v>
      </c>
      <c r="L223" s="9">
        <f>61046-58889</f>
        <v>2157</v>
      </c>
      <c r="M223" s="9">
        <f>90527+64348+11273-88669-64108-9653</f>
        <v>3718</v>
      </c>
      <c r="N223" s="9">
        <v>0</v>
      </c>
      <c r="O223" s="9">
        <f>17336+40888-12056-35462</f>
        <v>10706</v>
      </c>
      <c r="P223" s="9">
        <f>94514+97585-92723-95460</f>
        <v>3916</v>
      </c>
      <c r="Q223" s="9">
        <f>18700-15191</f>
        <v>3509</v>
      </c>
      <c r="R223" s="9">
        <f>86678-85036</f>
        <v>1642</v>
      </c>
      <c r="S223" s="9">
        <f>34913-34125</f>
        <v>788</v>
      </c>
      <c r="T223" s="9">
        <f>62039-58033</f>
        <v>4006</v>
      </c>
      <c r="U223" s="9">
        <f>62045-57948</f>
        <v>4097</v>
      </c>
      <c r="V223" s="9">
        <f t="shared" si="33"/>
        <v>55420</v>
      </c>
    </row>
    <row r="224" spans="1:22" ht="18" customHeight="1">
      <c r="A224" s="13" t="s">
        <v>262</v>
      </c>
      <c r="B224" s="9">
        <f>7443-6910</f>
        <v>533</v>
      </c>
      <c r="C224" s="9">
        <f>12279-11446</f>
        <v>833</v>
      </c>
      <c r="D224" s="9">
        <f>5250-5004</f>
        <v>246</v>
      </c>
      <c r="E224" s="9">
        <f>13159-11671</f>
        <v>1488</v>
      </c>
      <c r="F224" s="9">
        <f>59179-57176</f>
        <v>2003</v>
      </c>
      <c r="G224" s="9">
        <f>50416-48620</f>
        <v>1796</v>
      </c>
      <c r="H224" s="9">
        <f>15916-13649</f>
        <v>2267</v>
      </c>
      <c r="I224" s="9">
        <f>85152-82835</f>
        <v>2317</v>
      </c>
      <c r="J224" s="9">
        <f>11228-6055</f>
        <v>5173</v>
      </c>
      <c r="K224" s="9">
        <f>27192-26068</f>
        <v>1124</v>
      </c>
      <c r="L224" s="9">
        <f>62949-61046</f>
        <v>1903</v>
      </c>
      <c r="M224" s="9">
        <f>92499+64644+12066-90527-64348-11273</f>
        <v>3061</v>
      </c>
      <c r="N224" s="9">
        <v>0</v>
      </c>
      <c r="O224" s="9">
        <f>21798+45428-17336-40888</f>
        <v>9002</v>
      </c>
      <c r="P224" s="9">
        <f>96051+99369-94514-97585</f>
        <v>3321</v>
      </c>
      <c r="Q224" s="9">
        <f>21728-18700</f>
        <v>3028</v>
      </c>
      <c r="R224" s="9">
        <f>88033-86678</f>
        <v>1355</v>
      </c>
      <c r="S224" s="9">
        <f>35483-34913</f>
        <v>570</v>
      </c>
      <c r="T224" s="9">
        <f>65149-62039</f>
        <v>3110</v>
      </c>
      <c r="U224" s="9">
        <f>65297-62045</f>
        <v>3252</v>
      </c>
      <c r="V224" s="9">
        <f t="shared" si="33"/>
        <v>46382</v>
      </c>
    </row>
    <row r="225" spans="1:22" ht="18" customHeight="1">
      <c r="A225" s="13" t="s">
        <v>263</v>
      </c>
      <c r="B225" s="9">
        <f>7884-7443</f>
        <v>441</v>
      </c>
      <c r="C225" s="9">
        <f>12996-12279</f>
        <v>717</v>
      </c>
      <c r="D225" s="9">
        <f>5447-5250</f>
        <v>197</v>
      </c>
      <c r="E225" s="9">
        <f>14320-13159</f>
        <v>1161</v>
      </c>
      <c r="F225" s="9">
        <f>60883-59179</f>
        <v>1704</v>
      </c>
      <c r="G225" s="9">
        <f>51920-50416</f>
        <v>1504</v>
      </c>
      <c r="H225" s="9">
        <f>17898-15916</f>
        <v>1982</v>
      </c>
      <c r="I225" s="9">
        <f>87114-85152</f>
        <v>1962</v>
      </c>
      <c r="J225" s="9">
        <f>15587-11228</f>
        <v>4359</v>
      </c>
      <c r="K225" s="9">
        <f>28154-27192</f>
        <v>962</v>
      </c>
      <c r="L225" s="9">
        <f>64565-62949</f>
        <v>1616</v>
      </c>
      <c r="M225" s="9">
        <f>94109+64870+12771-92499-64644-12066</f>
        <v>2541</v>
      </c>
      <c r="N225" s="9">
        <v>0</v>
      </c>
      <c r="O225" s="9">
        <f>25620+49337-21798-45428</f>
        <v>7731</v>
      </c>
      <c r="P225" s="9">
        <f>97364+100886-96051-99369</f>
        <v>2830</v>
      </c>
      <c r="Q225" s="9">
        <f>24251-21728</f>
        <v>2523</v>
      </c>
      <c r="R225" s="9">
        <f>89164-88033</f>
        <v>1131</v>
      </c>
      <c r="S225" s="9">
        <f>35939-35483</f>
        <v>456</v>
      </c>
      <c r="T225" s="9">
        <f>67696-65149</f>
        <v>2547</v>
      </c>
      <c r="U225" s="9">
        <f>67949-65297</f>
        <v>2652</v>
      </c>
      <c r="V225" s="9">
        <f t="shared" si="33"/>
        <v>39016</v>
      </c>
    </row>
    <row r="226" spans="1:22" ht="18" customHeight="1">
      <c r="A226" s="13" t="s">
        <v>264</v>
      </c>
      <c r="B226" s="9">
        <v>348</v>
      </c>
      <c r="C226" s="9">
        <v>553</v>
      </c>
      <c r="D226" s="9">
        <v>137</v>
      </c>
      <c r="E226" s="9">
        <v>456</v>
      </c>
      <c r="F226" s="9">
        <v>478</v>
      </c>
      <c r="G226" s="9">
        <v>455</v>
      </c>
      <c r="H226" s="9">
        <v>1377</v>
      </c>
      <c r="I226" s="9">
        <v>1003</v>
      </c>
      <c r="J226" s="9">
        <v>3374</v>
      </c>
      <c r="K226" s="9">
        <v>78</v>
      </c>
      <c r="L226" s="9">
        <v>505</v>
      </c>
      <c r="M226" s="9">
        <f>531+161+1012</f>
        <v>1704</v>
      </c>
      <c r="N226" s="9">
        <v>0</v>
      </c>
      <c r="O226" s="9">
        <f>1766+1972</f>
        <v>3738</v>
      </c>
      <c r="P226" s="9">
        <f>742+859</f>
        <v>1601</v>
      </c>
      <c r="Q226" s="9">
        <v>1755</v>
      </c>
      <c r="R226" s="9">
        <v>387</v>
      </c>
      <c r="S226" s="9">
        <v>198</v>
      </c>
      <c r="T226" s="9">
        <v>1436</v>
      </c>
      <c r="U226" s="9">
        <v>1962</v>
      </c>
      <c r="V226" s="9">
        <f t="shared" si="33"/>
        <v>21545</v>
      </c>
    </row>
    <row r="227" spans="1:22" ht="18" customHeight="1">
      <c r="A227" s="13" t="s">
        <v>265</v>
      </c>
      <c r="B227" s="9">
        <v>369</v>
      </c>
      <c r="C227" s="9">
        <v>530</v>
      </c>
      <c r="D227" s="9">
        <v>184</v>
      </c>
      <c r="E227" s="9">
        <v>501</v>
      </c>
      <c r="F227" s="9">
        <v>360</v>
      </c>
      <c r="G227" s="9">
        <v>408</v>
      </c>
      <c r="H227" s="9">
        <v>1190</v>
      </c>
      <c r="I227" s="9">
        <v>1047</v>
      </c>
      <c r="J227" s="9">
        <v>3927</v>
      </c>
      <c r="K227" s="9">
        <v>621</v>
      </c>
      <c r="L227" s="9">
        <v>591</v>
      </c>
      <c r="M227" s="9">
        <f>753+201+936</f>
        <v>1890</v>
      </c>
      <c r="N227" s="9">
        <v>0</v>
      </c>
      <c r="O227" s="9">
        <f>1369+1674</f>
        <v>3043</v>
      </c>
      <c r="P227" s="9">
        <f>706+853</f>
        <v>1559</v>
      </c>
      <c r="Q227" s="9">
        <v>1578</v>
      </c>
      <c r="R227" s="9">
        <v>393</v>
      </c>
      <c r="S227" s="9">
        <v>192</v>
      </c>
      <c r="T227" s="9">
        <v>1456</v>
      </c>
      <c r="U227" s="9">
        <v>2146</v>
      </c>
      <c r="V227" s="9">
        <f t="shared" si="33"/>
        <v>21985</v>
      </c>
    </row>
    <row r="228" spans="1:22" ht="18" customHeight="1">
      <c r="A228" s="13" t="s">
        <v>266</v>
      </c>
      <c r="B228" s="9">
        <v>374</v>
      </c>
      <c r="C228" s="9">
        <v>541</v>
      </c>
      <c r="D228" s="9">
        <v>139</v>
      </c>
      <c r="E228" s="9">
        <v>800</v>
      </c>
      <c r="F228" s="9">
        <v>927</v>
      </c>
      <c r="G228" s="9">
        <v>899</v>
      </c>
      <c r="H228" s="9">
        <v>1378</v>
      </c>
      <c r="I228" s="9">
        <v>1442</v>
      </c>
      <c r="J228" s="9">
        <v>3925</v>
      </c>
      <c r="K228" s="9">
        <v>791</v>
      </c>
      <c r="L228" s="9">
        <v>851</v>
      </c>
      <c r="M228" s="9">
        <f>1113+400+549</f>
        <v>2062</v>
      </c>
      <c r="N228" s="9">
        <v>0</v>
      </c>
      <c r="O228" s="9">
        <f>2125+2352</f>
        <v>4477</v>
      </c>
      <c r="P228" s="9">
        <f>877+1044</f>
        <v>1921</v>
      </c>
      <c r="Q228" s="9">
        <v>1822</v>
      </c>
      <c r="R228" s="9">
        <v>870</v>
      </c>
      <c r="S228" s="9">
        <v>315</v>
      </c>
      <c r="T228" s="9">
        <v>1721</v>
      </c>
      <c r="U228" s="9">
        <v>2167</v>
      </c>
      <c r="V228" s="9">
        <f t="shared" si="33"/>
        <v>27422</v>
      </c>
    </row>
    <row r="229" spans="1:22" ht="18" customHeight="1">
      <c r="A229" s="13" t="s">
        <v>267</v>
      </c>
      <c r="B229" s="9">
        <v>525</v>
      </c>
      <c r="C229" s="9">
        <v>698</v>
      </c>
      <c r="D229" s="9">
        <v>232</v>
      </c>
      <c r="E229" s="9">
        <v>1230</v>
      </c>
      <c r="F229" s="9">
        <v>1663</v>
      </c>
      <c r="G229" s="9">
        <v>1344</v>
      </c>
      <c r="H229" s="9">
        <v>1773</v>
      </c>
      <c r="I229" s="9">
        <v>2004</v>
      </c>
      <c r="J229" s="9">
        <v>4937</v>
      </c>
      <c r="K229" s="9">
        <v>1074</v>
      </c>
      <c r="L229" s="9">
        <v>1449</v>
      </c>
      <c r="M229" s="9">
        <f>1476+715+751</f>
        <v>2942</v>
      </c>
      <c r="N229" s="9">
        <v>0</v>
      </c>
      <c r="O229" s="9">
        <f>3386+3659</f>
        <v>7045</v>
      </c>
      <c r="P229" s="9">
        <f>1434+1701</f>
        <v>3135</v>
      </c>
      <c r="Q229" s="9">
        <v>3287</v>
      </c>
      <c r="R229" s="9">
        <v>1548</v>
      </c>
      <c r="S229" s="9">
        <v>579</v>
      </c>
      <c r="T229" s="9">
        <v>2611</v>
      </c>
      <c r="U229" s="9">
        <v>3017</v>
      </c>
      <c r="V229" s="9">
        <f t="shared" si="33"/>
        <v>41093</v>
      </c>
    </row>
    <row r="230" spans="1:22" ht="18" customHeight="1">
      <c r="A230" s="13" t="s">
        <v>268</v>
      </c>
      <c r="B230" s="9">
        <v>610</v>
      </c>
      <c r="C230" s="9">
        <v>850</v>
      </c>
      <c r="D230" s="9">
        <v>268</v>
      </c>
      <c r="E230" s="9">
        <v>1641</v>
      </c>
      <c r="F230" s="9">
        <v>2163</v>
      </c>
      <c r="G230" s="9">
        <v>2147</v>
      </c>
      <c r="H230" s="9">
        <v>2774</v>
      </c>
      <c r="I230" s="9">
        <v>2402</v>
      </c>
      <c r="J230" s="9">
        <v>5308</v>
      </c>
      <c r="K230" s="9">
        <v>1289</v>
      </c>
      <c r="L230" s="9">
        <v>1900</v>
      </c>
      <c r="M230" s="9">
        <f>1666+877+1016</f>
        <v>3559</v>
      </c>
      <c r="N230" s="9">
        <v>0</v>
      </c>
      <c r="O230" s="9">
        <f>4241+4463</f>
        <v>8704</v>
      </c>
      <c r="P230" s="9">
        <f>1799+2121</f>
        <v>3920</v>
      </c>
      <c r="Q230" s="9">
        <v>3714</v>
      </c>
      <c r="R230" s="9">
        <v>2028</v>
      </c>
      <c r="S230" s="9">
        <v>839</v>
      </c>
      <c r="T230" s="9">
        <v>3608</v>
      </c>
      <c r="U230" s="9">
        <v>3809</v>
      </c>
      <c r="V230" s="9">
        <f t="shared" si="33"/>
        <v>51533</v>
      </c>
    </row>
    <row r="231" spans="1:22" ht="18" customHeight="1">
      <c r="A231" s="13" t="s">
        <v>269</v>
      </c>
      <c r="B231" s="9">
        <v>756</v>
      </c>
      <c r="C231" s="9">
        <v>1020</v>
      </c>
      <c r="D231" s="9">
        <v>319</v>
      </c>
      <c r="E231" s="9">
        <v>2089</v>
      </c>
      <c r="F231" s="9">
        <v>2551</v>
      </c>
      <c r="G231" s="9">
        <v>2477</v>
      </c>
      <c r="H231" s="9">
        <v>3490</v>
      </c>
      <c r="I231" s="9">
        <v>2846</v>
      </c>
      <c r="J231" s="9">
        <v>6009</v>
      </c>
      <c r="K231" s="9">
        <v>1794</v>
      </c>
      <c r="L231" s="9">
        <v>2389</v>
      </c>
      <c r="M231" s="9">
        <f>643+968+2695</f>
        <v>4306</v>
      </c>
      <c r="N231" s="9">
        <v>0</v>
      </c>
      <c r="O231" s="9">
        <f>5197+5409</f>
        <v>10606</v>
      </c>
      <c r="P231" s="9">
        <f>2099+2524</f>
        <v>4623</v>
      </c>
      <c r="Q231" s="9">
        <v>4327</v>
      </c>
      <c r="R231" s="9">
        <v>2585</v>
      </c>
      <c r="S231" s="9">
        <v>1128</v>
      </c>
      <c r="T231" s="9">
        <v>4357</v>
      </c>
      <c r="U231" s="9">
        <v>4621</v>
      </c>
      <c r="V231" s="9">
        <f t="shared" si="33"/>
        <v>62293</v>
      </c>
    </row>
    <row r="232" spans="1:22" ht="18.75" customHeight="1">
      <c r="A232" s="73" t="s">
        <v>74</v>
      </c>
      <c r="B232" s="74">
        <f aca="true" t="shared" si="34" ref="B232:V232">SUM(B220:B231)</f>
        <v>6399</v>
      </c>
      <c r="C232" s="74">
        <f t="shared" si="34"/>
        <v>9830</v>
      </c>
      <c r="D232" s="74">
        <f t="shared" si="34"/>
        <v>3006</v>
      </c>
      <c r="E232" s="74">
        <f t="shared" si="34"/>
        <v>15566</v>
      </c>
      <c r="F232" s="74">
        <f t="shared" si="34"/>
        <v>20410</v>
      </c>
      <c r="G232" s="74">
        <f t="shared" si="34"/>
        <v>18408</v>
      </c>
      <c r="H232" s="74">
        <f t="shared" si="34"/>
        <v>27287</v>
      </c>
      <c r="I232" s="74">
        <f t="shared" si="34"/>
        <v>24551</v>
      </c>
      <c r="J232" s="74">
        <f t="shared" si="34"/>
        <v>45914</v>
      </c>
      <c r="K232" s="74">
        <f t="shared" si="34"/>
        <v>12199</v>
      </c>
      <c r="L232" s="74">
        <f t="shared" si="34"/>
        <v>19109</v>
      </c>
      <c r="M232" s="74">
        <f t="shared" si="34"/>
        <v>36456</v>
      </c>
      <c r="N232" s="74">
        <f t="shared" si="34"/>
        <v>0</v>
      </c>
      <c r="O232" s="74">
        <f t="shared" si="34"/>
        <v>94551</v>
      </c>
      <c r="P232" s="74">
        <f t="shared" si="34"/>
        <v>37544</v>
      </c>
      <c r="Q232" s="74">
        <f t="shared" si="34"/>
        <v>36053</v>
      </c>
      <c r="R232" s="74">
        <f t="shared" si="34"/>
        <v>16268</v>
      </c>
      <c r="S232" s="74">
        <f t="shared" si="34"/>
        <v>7330</v>
      </c>
      <c r="T232" s="74">
        <f t="shared" si="34"/>
        <v>36044</v>
      </c>
      <c r="U232" s="74">
        <f t="shared" si="34"/>
        <v>39629</v>
      </c>
      <c r="V232" s="74">
        <f t="shared" si="34"/>
        <v>506554</v>
      </c>
    </row>
    <row r="233" spans="1:22" ht="18.75" customHeight="1">
      <c r="A233" s="75" t="s">
        <v>295</v>
      </c>
      <c r="B233" s="76">
        <f aca="true" t="shared" si="35" ref="B233:V233">B232/12</f>
        <v>533.25</v>
      </c>
      <c r="C233" s="76">
        <f t="shared" si="35"/>
        <v>819.1666666666666</v>
      </c>
      <c r="D233" s="76">
        <f t="shared" si="35"/>
        <v>250.5</v>
      </c>
      <c r="E233" s="76">
        <f t="shared" si="35"/>
        <v>1297.1666666666667</v>
      </c>
      <c r="F233" s="76">
        <f t="shared" si="35"/>
        <v>1700.8333333333333</v>
      </c>
      <c r="G233" s="76">
        <f t="shared" si="35"/>
        <v>1534</v>
      </c>
      <c r="H233" s="76">
        <f t="shared" si="35"/>
        <v>2273.9166666666665</v>
      </c>
      <c r="I233" s="76">
        <f t="shared" si="35"/>
        <v>2045.9166666666667</v>
      </c>
      <c r="J233" s="76">
        <f t="shared" si="35"/>
        <v>3826.1666666666665</v>
      </c>
      <c r="K233" s="76">
        <f t="shared" si="35"/>
        <v>1016.5833333333334</v>
      </c>
      <c r="L233" s="76">
        <f t="shared" si="35"/>
        <v>1592.4166666666667</v>
      </c>
      <c r="M233" s="76">
        <f t="shared" si="35"/>
        <v>3038</v>
      </c>
      <c r="N233" s="76">
        <f t="shared" si="35"/>
        <v>0</v>
      </c>
      <c r="O233" s="76">
        <f t="shared" si="35"/>
        <v>7879.25</v>
      </c>
      <c r="P233" s="76">
        <f t="shared" si="35"/>
        <v>3128.6666666666665</v>
      </c>
      <c r="Q233" s="76">
        <f t="shared" si="35"/>
        <v>3004.4166666666665</v>
      </c>
      <c r="R233" s="76">
        <f t="shared" si="35"/>
        <v>1355.6666666666667</v>
      </c>
      <c r="S233" s="76">
        <f t="shared" si="35"/>
        <v>610.8333333333334</v>
      </c>
      <c r="T233" s="76">
        <f t="shared" si="35"/>
        <v>3003.6666666666665</v>
      </c>
      <c r="U233" s="76">
        <f t="shared" si="35"/>
        <v>3302.4166666666665</v>
      </c>
      <c r="V233" s="76">
        <f t="shared" si="35"/>
        <v>42212.833333333336</v>
      </c>
    </row>
    <row r="234" spans="1:22" ht="18.75" customHeight="1">
      <c r="A234" s="82" t="s">
        <v>297</v>
      </c>
      <c r="B234" s="77">
        <f>B233/83</f>
        <v>6.424698795180723</v>
      </c>
      <c r="C234" s="77">
        <f>C233/121</f>
        <v>6.7699724517906334</v>
      </c>
      <c r="D234" s="77">
        <f>D233/45</f>
        <v>5.566666666666666</v>
      </c>
      <c r="E234" s="77">
        <f>E233/199</f>
        <v>6.518425460636516</v>
      </c>
      <c r="F234" s="77">
        <f>F233/300</f>
        <v>5.669444444444444</v>
      </c>
      <c r="G234" s="77">
        <f>G233/357</f>
        <v>4.296918767507003</v>
      </c>
      <c r="H234" s="77">
        <f>H233/372</f>
        <v>6.112679211469533</v>
      </c>
      <c r="I234" s="77">
        <f>I233/314</f>
        <v>6.5156581740976645</v>
      </c>
      <c r="J234" s="77">
        <f>J233/(102+124+124)</f>
        <v>10.931904761904761</v>
      </c>
      <c r="K234" s="77">
        <f>K233/297</f>
        <v>3.42283950617284</v>
      </c>
      <c r="L234" s="77">
        <f>L233/285</f>
        <v>5.587426900584796</v>
      </c>
      <c r="M234" s="77">
        <f>M233/448</f>
        <v>6.78125</v>
      </c>
      <c r="N234" s="77">
        <f>N233/126</f>
        <v>0</v>
      </c>
      <c r="O234" s="77">
        <f>O233/(232+310+357)</f>
        <v>8.764460511679644</v>
      </c>
      <c r="P234" s="77">
        <f>P233/328</f>
        <v>9.538617886178862</v>
      </c>
      <c r="Q234" s="77">
        <f>Q233/317</f>
        <v>9.477655099894847</v>
      </c>
      <c r="R234" s="77">
        <f>R233/194</f>
        <v>6.987972508591065</v>
      </c>
      <c r="S234" s="77">
        <f>S233/165</f>
        <v>3.7020202020202024</v>
      </c>
      <c r="T234" s="77">
        <f>T233/(124+124+120+96)</f>
        <v>6.473419540229885</v>
      </c>
      <c r="U234" s="77">
        <f>U233/(124+124+120+96)</f>
        <v>7.117277298850574</v>
      </c>
      <c r="V234" s="77">
        <f>V233/5877</f>
        <v>7.1827179399920595</v>
      </c>
    </row>
    <row r="235" spans="1:22" ht="18.75" customHeight="1">
      <c r="A235" s="78" t="s">
        <v>294</v>
      </c>
      <c r="B235" s="77">
        <f>(16.61*8+16.25*2+15.83*2)/12</f>
        <v>16.419999999999998</v>
      </c>
      <c r="C235" s="77">
        <f aca="true" t="shared" si="36" ref="C235:V235">(16.61*8+16.25*2+15.83*2)/12</f>
        <v>16.419999999999998</v>
      </c>
      <c r="D235" s="77">
        <f t="shared" si="36"/>
        <v>16.419999999999998</v>
      </c>
      <c r="E235" s="77">
        <f t="shared" si="36"/>
        <v>16.419999999999998</v>
      </c>
      <c r="F235" s="77">
        <f t="shared" si="36"/>
        <v>16.419999999999998</v>
      </c>
      <c r="G235" s="77">
        <f t="shared" si="36"/>
        <v>16.419999999999998</v>
      </c>
      <c r="H235" s="77">
        <f t="shared" si="36"/>
        <v>16.419999999999998</v>
      </c>
      <c r="I235" s="77">
        <f t="shared" si="36"/>
        <v>16.419999999999998</v>
      </c>
      <c r="J235" s="77">
        <f t="shared" si="36"/>
        <v>16.419999999999998</v>
      </c>
      <c r="K235" s="77">
        <f t="shared" si="36"/>
        <v>16.419999999999998</v>
      </c>
      <c r="L235" s="77">
        <f t="shared" si="36"/>
        <v>16.419999999999998</v>
      </c>
      <c r="M235" s="77">
        <f t="shared" si="36"/>
        <v>16.419999999999998</v>
      </c>
      <c r="N235" s="77">
        <f t="shared" si="36"/>
        <v>16.419999999999998</v>
      </c>
      <c r="O235" s="77">
        <f t="shared" si="36"/>
        <v>16.419999999999998</v>
      </c>
      <c r="P235" s="77">
        <f t="shared" si="36"/>
        <v>16.419999999999998</v>
      </c>
      <c r="Q235" s="77">
        <f t="shared" si="36"/>
        <v>16.419999999999998</v>
      </c>
      <c r="R235" s="77">
        <f t="shared" si="36"/>
        <v>16.419999999999998</v>
      </c>
      <c r="S235" s="77">
        <f t="shared" si="36"/>
        <v>16.419999999999998</v>
      </c>
      <c r="T235" s="77">
        <f t="shared" si="36"/>
        <v>16.419999999999998</v>
      </c>
      <c r="U235" s="77">
        <f t="shared" si="36"/>
        <v>16.419999999999998</v>
      </c>
      <c r="V235" s="77">
        <f t="shared" si="36"/>
        <v>16.419999999999998</v>
      </c>
    </row>
    <row r="236" spans="1:22" ht="18.75" customHeight="1">
      <c r="A236" s="82" t="s">
        <v>298</v>
      </c>
      <c r="B236" s="77">
        <f>B234*B235</f>
        <v>105.49355421686747</v>
      </c>
      <c r="C236" s="77">
        <f aca="true" t="shared" si="37" ref="C236:V236">C234*C235</f>
        <v>111.16294765840219</v>
      </c>
      <c r="D236" s="77">
        <f t="shared" si="37"/>
        <v>91.40466666666666</v>
      </c>
      <c r="E236" s="77">
        <f t="shared" si="37"/>
        <v>107.03254606365158</v>
      </c>
      <c r="F236" s="77">
        <f t="shared" si="37"/>
        <v>93.09227777777777</v>
      </c>
      <c r="G236" s="77">
        <f t="shared" si="37"/>
        <v>70.55540616246498</v>
      </c>
      <c r="H236" s="77">
        <f t="shared" si="37"/>
        <v>100.37019265232972</v>
      </c>
      <c r="I236" s="77">
        <f t="shared" si="37"/>
        <v>106.98710721868363</v>
      </c>
      <c r="J236" s="77">
        <f t="shared" si="37"/>
        <v>179.50187619047617</v>
      </c>
      <c r="K236" s="77">
        <f t="shared" si="37"/>
        <v>56.203024691358024</v>
      </c>
      <c r="L236" s="77">
        <f t="shared" si="37"/>
        <v>91.74554970760234</v>
      </c>
      <c r="M236" s="77">
        <f t="shared" si="37"/>
        <v>111.34812499999998</v>
      </c>
      <c r="N236" s="77">
        <f t="shared" si="37"/>
        <v>0</v>
      </c>
      <c r="O236" s="77">
        <f t="shared" si="37"/>
        <v>143.91244160177973</v>
      </c>
      <c r="P236" s="77">
        <f t="shared" si="37"/>
        <v>156.6241056910569</v>
      </c>
      <c r="Q236" s="77">
        <f t="shared" si="37"/>
        <v>155.62309674027335</v>
      </c>
      <c r="R236" s="77">
        <f t="shared" si="37"/>
        <v>114.74250859106527</v>
      </c>
      <c r="S236" s="77">
        <f t="shared" si="37"/>
        <v>60.78717171717172</v>
      </c>
      <c r="T236" s="77">
        <f t="shared" si="37"/>
        <v>106.2935488505747</v>
      </c>
      <c r="U236" s="77">
        <f t="shared" si="37"/>
        <v>116.86569324712642</v>
      </c>
      <c r="V236" s="77">
        <f t="shared" si="37"/>
        <v>117.9402285746696</v>
      </c>
    </row>
    <row r="237" spans="1:22" ht="25.5" customHeight="1">
      <c r="A237" s="79" t="s">
        <v>296</v>
      </c>
      <c r="B237" s="58">
        <f>B236*12/2.5</f>
        <v>506.3690602409639</v>
      </c>
      <c r="C237" s="58">
        <f aca="true" t="shared" si="38" ref="C237:V237">C236*12/2.5</f>
        <v>533.5821487603305</v>
      </c>
      <c r="D237" s="58">
        <f t="shared" si="38"/>
        <v>438.7423999999999</v>
      </c>
      <c r="E237" s="58">
        <f t="shared" si="38"/>
        <v>513.7562211055276</v>
      </c>
      <c r="F237" s="58">
        <f t="shared" si="38"/>
        <v>446.84293333333324</v>
      </c>
      <c r="G237" s="58">
        <f t="shared" si="38"/>
        <v>338.6659495798319</v>
      </c>
      <c r="H237" s="58">
        <f t="shared" si="38"/>
        <v>481.7769247311827</v>
      </c>
      <c r="I237" s="58">
        <f t="shared" si="38"/>
        <v>513.5381146496815</v>
      </c>
      <c r="J237" s="58">
        <f t="shared" si="38"/>
        <v>861.6090057142856</v>
      </c>
      <c r="K237" s="58">
        <f t="shared" si="38"/>
        <v>269.7745185185185</v>
      </c>
      <c r="L237" s="58">
        <f t="shared" si="38"/>
        <v>440.3786385964912</v>
      </c>
      <c r="M237" s="58">
        <f t="shared" si="38"/>
        <v>534.4709999999999</v>
      </c>
      <c r="N237" s="58">
        <f t="shared" si="38"/>
        <v>0</v>
      </c>
      <c r="O237" s="58">
        <f t="shared" si="38"/>
        <v>690.7797196885427</v>
      </c>
      <c r="P237" s="58">
        <f t="shared" si="38"/>
        <v>751.7957073170732</v>
      </c>
      <c r="Q237" s="58">
        <f t="shared" si="38"/>
        <v>746.9908643533121</v>
      </c>
      <c r="R237" s="58">
        <f t="shared" si="38"/>
        <v>550.7640412371132</v>
      </c>
      <c r="S237" s="58">
        <f t="shared" si="38"/>
        <v>291.77842424242425</v>
      </c>
      <c r="T237" s="58">
        <f t="shared" si="38"/>
        <v>510.20903448275857</v>
      </c>
      <c r="U237" s="58">
        <f t="shared" si="38"/>
        <v>560.9553275862069</v>
      </c>
      <c r="V237" s="96">
        <f t="shared" si="38"/>
        <v>566.1130971584141</v>
      </c>
    </row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spans="1:22" ht="18" customHeight="1">
      <c r="A244" s="9" t="s">
        <v>18</v>
      </c>
      <c r="B244" s="9" t="s">
        <v>0</v>
      </c>
      <c r="C244" s="9" t="s">
        <v>1</v>
      </c>
      <c r="D244" s="9" t="s">
        <v>2</v>
      </c>
      <c r="E244" s="9" t="s">
        <v>3</v>
      </c>
      <c r="F244" s="9" t="s">
        <v>4</v>
      </c>
      <c r="G244" s="9" t="s">
        <v>5</v>
      </c>
      <c r="H244" s="9" t="s">
        <v>6</v>
      </c>
      <c r="I244" s="9" t="s">
        <v>7</v>
      </c>
      <c r="J244" s="9" t="s">
        <v>8</v>
      </c>
      <c r="K244" s="9" t="s">
        <v>9</v>
      </c>
      <c r="L244" s="9" t="s">
        <v>10</v>
      </c>
      <c r="M244" s="9" t="s">
        <v>11</v>
      </c>
      <c r="N244" s="9" t="s">
        <v>12</v>
      </c>
      <c r="O244" s="9" t="s">
        <v>13</v>
      </c>
      <c r="P244" s="9" t="s">
        <v>14</v>
      </c>
      <c r="Q244" s="9" t="s">
        <v>15</v>
      </c>
      <c r="R244" s="9" t="s">
        <v>16</v>
      </c>
      <c r="S244" s="9" t="s">
        <v>17</v>
      </c>
      <c r="T244" s="9" t="s">
        <v>243</v>
      </c>
      <c r="U244" s="9" t="s">
        <v>244</v>
      </c>
      <c r="V244" s="10" t="s">
        <v>134</v>
      </c>
    </row>
    <row r="245" spans="1:22" ht="18" customHeight="1">
      <c r="A245" s="13" t="s">
        <v>282</v>
      </c>
      <c r="B245" s="16">
        <f>1667-866</f>
        <v>801</v>
      </c>
      <c r="C245" s="2">
        <f>8301-7188</f>
        <v>1113</v>
      </c>
      <c r="D245" s="9">
        <f>7021-6726</f>
        <v>295</v>
      </c>
      <c r="E245" s="9">
        <f>3085-1037</f>
        <v>2048</v>
      </c>
      <c r="F245" s="9">
        <f>71447-69025</f>
        <v>2422</v>
      </c>
      <c r="G245" s="9">
        <f>62038-59650</f>
        <v>2388</v>
      </c>
      <c r="H245" s="9">
        <f>33770-29880</f>
        <v>3890</v>
      </c>
      <c r="I245" s="9">
        <f>100545-97858</f>
        <v>2687</v>
      </c>
      <c r="J245" s="9">
        <f>48865-43067</f>
        <v>5798</v>
      </c>
      <c r="K245" s="9">
        <f>35453-33801</f>
        <v>1652</v>
      </c>
      <c r="L245" s="9">
        <f>74481-72250</f>
        <v>2231</v>
      </c>
      <c r="M245" s="9">
        <f>1192-291+69127-68192+22737-19730</f>
        <v>4843</v>
      </c>
      <c r="N245" s="9">
        <v>0</v>
      </c>
      <c r="O245" s="9">
        <f>48862-43704+74388-68866</f>
        <v>10680</v>
      </c>
      <c r="P245" s="9">
        <f>6993-5021+12442-9988</f>
        <v>4426</v>
      </c>
      <c r="Q245" s="9">
        <f>45172-40734</f>
        <v>4438</v>
      </c>
      <c r="R245" s="9">
        <f>99434-96975</f>
        <v>2459</v>
      </c>
      <c r="S245" s="9">
        <f>40196-39190</f>
        <v>1006</v>
      </c>
      <c r="T245" s="9">
        <f>87281-82885</f>
        <v>4396</v>
      </c>
      <c r="U245" s="9">
        <f>90549-85671</f>
        <v>4878</v>
      </c>
      <c r="V245" s="9">
        <f aca="true" t="shared" si="39" ref="V245:V256">SUM(B245:U245)</f>
        <v>62451</v>
      </c>
    </row>
    <row r="246" spans="1:22" ht="18" customHeight="1">
      <c r="A246" s="13" t="s">
        <v>283</v>
      </c>
      <c r="B246" s="16">
        <f>2301-1667</f>
        <v>634</v>
      </c>
      <c r="C246" s="2">
        <f>9200-8301</f>
        <v>899</v>
      </c>
      <c r="D246" s="9">
        <f>7333-7021</f>
        <v>312</v>
      </c>
      <c r="E246" s="9">
        <f>4289-3085</f>
        <v>1204</v>
      </c>
      <c r="F246" s="9">
        <f>73063-71447</f>
        <v>1616</v>
      </c>
      <c r="G246" s="9">
        <f>63463-62038</f>
        <v>1425</v>
      </c>
      <c r="H246" s="9">
        <f>36534-33770</f>
        <v>2764</v>
      </c>
      <c r="I246" s="9">
        <f>102237-100545</f>
        <v>1692</v>
      </c>
      <c r="J246" s="9">
        <f>53302-48865</f>
        <v>4437</v>
      </c>
      <c r="K246" s="9">
        <f>36329-35453</f>
        <v>876</v>
      </c>
      <c r="L246" s="9">
        <f>75901-74481</f>
        <v>1420</v>
      </c>
      <c r="M246" s="9">
        <f>1779-1192+69702-69127+25114-22737</f>
        <v>3539</v>
      </c>
      <c r="N246" s="9">
        <v>0</v>
      </c>
      <c r="O246" s="9">
        <f>52129-48862+77976-74388</f>
        <v>6855</v>
      </c>
      <c r="P246" s="9">
        <f>8276-6993+14043-12442</f>
        <v>2884</v>
      </c>
      <c r="Q246" s="9">
        <f>48664-45172</f>
        <v>3492</v>
      </c>
      <c r="R246" s="9">
        <f>100880-99434</f>
        <v>1446</v>
      </c>
      <c r="S246" s="9">
        <f>40720-40196</f>
        <v>524</v>
      </c>
      <c r="T246" s="9">
        <f>90072-87281</f>
        <v>2791</v>
      </c>
      <c r="U246" s="9">
        <f>94161-90549</f>
        <v>3612</v>
      </c>
      <c r="V246" s="9">
        <f t="shared" si="39"/>
        <v>42422</v>
      </c>
    </row>
    <row r="247" spans="1:22" ht="18" customHeight="1">
      <c r="A247" s="13" t="s">
        <v>284</v>
      </c>
      <c r="B247" s="16">
        <f>2991-2301</f>
        <v>690</v>
      </c>
      <c r="C247" s="2">
        <f>10518-9200</f>
        <v>1318</v>
      </c>
      <c r="D247" s="9">
        <f>7673-7333</f>
        <v>340</v>
      </c>
      <c r="E247" s="9">
        <f>6736-4289</f>
        <v>2447</v>
      </c>
      <c r="F247" s="9">
        <f>75976-73063</f>
        <v>2913</v>
      </c>
      <c r="G247" s="9">
        <f>66224-63463</f>
        <v>2761</v>
      </c>
      <c r="H247" s="9">
        <f>40313-36534</f>
        <v>3779</v>
      </c>
      <c r="I247" s="9">
        <f>105455-102237</f>
        <v>3218</v>
      </c>
      <c r="J247" s="9">
        <f>59479-53302</f>
        <v>6177</v>
      </c>
      <c r="K247" s="9">
        <f>38267-36329</f>
        <v>1938</v>
      </c>
      <c r="L247" s="9">
        <f>78754-75901</f>
        <v>2853</v>
      </c>
      <c r="M247" s="9">
        <f>2916-1779+70925-69702+27926-25114</f>
        <v>5172</v>
      </c>
      <c r="N247" s="9">
        <v>0</v>
      </c>
      <c r="O247" s="9">
        <f>57971-52129+84233-77976</f>
        <v>12099</v>
      </c>
      <c r="P247" s="9">
        <f>10659-8276+16871-14043</f>
        <v>5211</v>
      </c>
      <c r="Q247" s="9">
        <f>53347-48664</f>
        <v>4683</v>
      </c>
      <c r="R247" s="9">
        <f>103687-100880</f>
        <v>2807</v>
      </c>
      <c r="S247" s="9">
        <f>41874-40720</f>
        <v>1154</v>
      </c>
      <c r="T247" s="9">
        <f>94891-90072</f>
        <v>4819</v>
      </c>
      <c r="U247" s="9">
        <f>99256-94161</f>
        <v>5095</v>
      </c>
      <c r="V247" s="9">
        <f t="shared" si="39"/>
        <v>69474</v>
      </c>
    </row>
    <row r="248" spans="1:22" ht="18" customHeight="1">
      <c r="A248" s="13" t="s">
        <v>285</v>
      </c>
      <c r="B248" s="9">
        <f>3480-2991</f>
        <v>489</v>
      </c>
      <c r="C248" s="9">
        <f>11785-10518</f>
        <v>1267</v>
      </c>
      <c r="D248" s="9">
        <f>7942-7673</f>
        <v>269</v>
      </c>
      <c r="E248" s="9">
        <f>8920-6736</f>
        <v>2184</v>
      </c>
      <c r="F248" s="9">
        <f>78644-75976</f>
        <v>2668</v>
      </c>
      <c r="G248" s="9">
        <f>68837-66224</f>
        <v>2613</v>
      </c>
      <c r="H248" s="9">
        <f>43670-40313</f>
        <v>3357</v>
      </c>
      <c r="I248" s="9">
        <f>108400-105455</f>
        <v>2945</v>
      </c>
      <c r="J248" s="9">
        <f>65258-59479</f>
        <v>5779</v>
      </c>
      <c r="K248" s="9">
        <f>40010-38267</f>
        <v>1743</v>
      </c>
      <c r="L248" s="9">
        <f>81177-78754</f>
        <v>2423</v>
      </c>
      <c r="M248" s="9">
        <f>3950-2916+71693-70925+30781-27926</f>
        <v>4657</v>
      </c>
      <c r="N248" s="9">
        <v>0</v>
      </c>
      <c r="O248" s="9">
        <f>63399-57971+89924-84233</f>
        <v>11119</v>
      </c>
      <c r="P248" s="9">
        <f>13101-10659+19700-16871</f>
        <v>5271</v>
      </c>
      <c r="Q248" s="9">
        <f>57667-53347</f>
        <v>4320</v>
      </c>
      <c r="R248" s="9">
        <f>105944-103687</f>
        <v>2257</v>
      </c>
      <c r="S248" s="9">
        <f>42760-41874</f>
        <v>886</v>
      </c>
      <c r="T248" s="9">
        <f>99131-94891</f>
        <v>4240</v>
      </c>
      <c r="U248" s="9">
        <f>103849-99256</f>
        <v>4593</v>
      </c>
      <c r="V248" s="9">
        <f t="shared" si="39"/>
        <v>63080</v>
      </c>
    </row>
    <row r="249" spans="1:22" ht="18" customHeight="1">
      <c r="A249" s="13" t="s">
        <v>286</v>
      </c>
      <c r="B249" s="9">
        <f>3749-3480</f>
        <v>269</v>
      </c>
      <c r="C249" s="9">
        <f>12604-11785</f>
        <v>819</v>
      </c>
      <c r="D249" s="9">
        <f>8181-7942</f>
        <v>239</v>
      </c>
      <c r="E249" s="9">
        <f>10333-8920</f>
        <v>1413</v>
      </c>
      <c r="F249" s="9">
        <f>80394-78644</f>
        <v>1750</v>
      </c>
      <c r="G249" s="9">
        <f>70586-68837</f>
        <v>1749</v>
      </c>
      <c r="H249" s="9">
        <f>45736-43670</f>
        <v>2066</v>
      </c>
      <c r="I249" s="9">
        <f>110147-108400</f>
        <v>1747</v>
      </c>
      <c r="J249" s="9">
        <f>69452-65258</f>
        <v>4194</v>
      </c>
      <c r="K249" s="9">
        <f>41135-40010</f>
        <v>1125</v>
      </c>
      <c r="L249" s="9">
        <f>82875-81177</f>
        <v>1698</v>
      </c>
      <c r="M249" s="9">
        <f>4489-3950+72200-71693+32700-30781</f>
        <v>2965</v>
      </c>
      <c r="N249" s="9">
        <v>0</v>
      </c>
      <c r="O249" s="9">
        <f>67083-63399+93719-89924</f>
        <v>7479</v>
      </c>
      <c r="P249" s="9">
        <f>14587-13101+21430-19700</f>
        <v>3216</v>
      </c>
      <c r="Q249" s="9">
        <f>60390-57667</f>
        <v>2723</v>
      </c>
      <c r="R249" s="9">
        <f>107284-105944</f>
        <v>1340</v>
      </c>
      <c r="S249" s="9">
        <f>43280-42760</f>
        <v>520</v>
      </c>
      <c r="T249" s="9">
        <f>101750-99131</f>
        <v>2619</v>
      </c>
      <c r="U249" s="9">
        <f>106863-103849</f>
        <v>3014</v>
      </c>
      <c r="V249" s="9">
        <f t="shared" si="39"/>
        <v>40945</v>
      </c>
    </row>
    <row r="250" spans="1:22" ht="18" customHeight="1">
      <c r="A250" s="13" t="s">
        <v>287</v>
      </c>
      <c r="B250" s="9">
        <f>3937-3749</f>
        <v>188</v>
      </c>
      <c r="C250" s="9">
        <f>13303-12604</f>
        <v>699</v>
      </c>
      <c r="D250" s="9">
        <f>8335-8181</f>
        <v>154</v>
      </c>
      <c r="E250" s="9">
        <f>11386-10333</f>
        <v>1053</v>
      </c>
      <c r="F250" s="9">
        <f>87828-80394</f>
        <v>7434</v>
      </c>
      <c r="G250" s="9">
        <f>72074-70586</f>
        <v>1488</v>
      </c>
      <c r="H250" s="9">
        <f>47350-45736</f>
        <v>1614</v>
      </c>
      <c r="I250" s="9">
        <f>111615-110147</f>
        <v>1468</v>
      </c>
      <c r="J250" s="9">
        <f>73392-69452</f>
        <v>3940</v>
      </c>
      <c r="K250" s="9">
        <f>42045-41135</f>
        <v>910</v>
      </c>
      <c r="L250" s="9">
        <f>84300-82875</f>
        <v>1425</v>
      </c>
      <c r="M250" s="9">
        <f>6174-4489+72359-72200+33356-32700</f>
        <v>2500</v>
      </c>
      <c r="N250" s="9">
        <v>0</v>
      </c>
      <c r="O250" s="9">
        <f>70305-67083+97040-93719</f>
        <v>6543</v>
      </c>
      <c r="P250" s="9">
        <f>15835-14587+22878-21430</f>
        <v>2696</v>
      </c>
      <c r="Q250" s="9">
        <f>62556-60390</f>
        <v>2166</v>
      </c>
      <c r="R250" s="9">
        <f>108258-107284</f>
        <v>974</v>
      </c>
      <c r="S250" s="9">
        <f>43602-43280</f>
        <v>322</v>
      </c>
      <c r="T250" s="9">
        <f>103979-101750</f>
        <v>2229</v>
      </c>
      <c r="U250" s="9">
        <f>109418-106863</f>
        <v>2555</v>
      </c>
      <c r="V250" s="9">
        <f t="shared" si="39"/>
        <v>40358</v>
      </c>
    </row>
    <row r="251" spans="1:22" ht="18" customHeight="1">
      <c r="A251" s="13" t="s">
        <v>288</v>
      </c>
      <c r="B251" s="9">
        <f>4081-3937</f>
        <v>144</v>
      </c>
      <c r="C251" s="9">
        <f>13905-13303</f>
        <v>602</v>
      </c>
      <c r="D251" s="9">
        <f>8388-8335</f>
        <v>53</v>
      </c>
      <c r="E251" s="9">
        <f>11976-11386</f>
        <v>590</v>
      </c>
      <c r="F251" s="9">
        <f>88052-87828</f>
        <v>224</v>
      </c>
      <c r="G251" s="9">
        <f>72724-72074</f>
        <v>650</v>
      </c>
      <c r="H251" s="9">
        <f>48712-47350</f>
        <v>1362</v>
      </c>
      <c r="I251" s="9">
        <f>112456-111615</f>
        <v>841</v>
      </c>
      <c r="J251" s="9">
        <f>76922-73392</f>
        <v>3530</v>
      </c>
      <c r="K251" s="9">
        <f>42517-42045</f>
        <v>472</v>
      </c>
      <c r="L251" s="9">
        <f>84898-84300</f>
        <v>598</v>
      </c>
      <c r="M251" s="9">
        <f>7503-6174+72390-72359+33845-33356</f>
        <v>1849</v>
      </c>
      <c r="N251" s="9">
        <v>0</v>
      </c>
      <c r="O251" s="9">
        <f>71393-70305+98228-97040</f>
        <v>2276</v>
      </c>
      <c r="P251" s="9">
        <f>16725-15835+23491-22878</f>
        <v>1503</v>
      </c>
      <c r="Q251" s="9">
        <f>64358-62556</f>
        <v>1802</v>
      </c>
      <c r="R251" s="9">
        <f>108800-108258</f>
        <v>542</v>
      </c>
      <c r="S251" s="9">
        <f>43795-43602</f>
        <v>193</v>
      </c>
      <c r="T251" s="9">
        <f>105333-103979</f>
        <v>1354</v>
      </c>
      <c r="U251" s="9">
        <f>111485-109418</f>
        <v>2067</v>
      </c>
      <c r="V251" s="9">
        <f t="shared" si="39"/>
        <v>20652</v>
      </c>
    </row>
    <row r="252" spans="1:22" ht="18" customHeight="1">
      <c r="A252" s="13" t="s">
        <v>289</v>
      </c>
      <c r="B252" s="9">
        <f>4207-4081</f>
        <v>126</v>
      </c>
      <c r="C252" s="9">
        <f>14399-13905</f>
        <v>494</v>
      </c>
      <c r="D252" s="9">
        <f>8396-8388</f>
        <v>8</v>
      </c>
      <c r="E252" s="9">
        <f>12471-11976</f>
        <v>495</v>
      </c>
      <c r="F252" s="9">
        <f>88088-88052</f>
        <v>36</v>
      </c>
      <c r="G252" s="9">
        <f>73294-72724</f>
        <v>570</v>
      </c>
      <c r="H252" s="9">
        <f>49840-48712</f>
        <v>1128</v>
      </c>
      <c r="I252" s="9">
        <f>113095-112456</f>
        <v>639</v>
      </c>
      <c r="J252" s="9">
        <f>80195-76922</f>
        <v>3273</v>
      </c>
      <c r="K252" s="9">
        <f>42869-42517</f>
        <v>352</v>
      </c>
      <c r="L252" s="9">
        <f>85351-84898</f>
        <v>453</v>
      </c>
      <c r="M252" s="9">
        <f>8696-7503+72409-72390+34199-33845</f>
        <v>1566</v>
      </c>
      <c r="N252" s="9">
        <v>0</v>
      </c>
      <c r="O252" s="9">
        <f>71937-71393+98944-98228</f>
        <v>1260</v>
      </c>
      <c r="P252" s="9">
        <f>17346-16725+24711-23491</f>
        <v>1841</v>
      </c>
      <c r="Q252" s="9">
        <f>65943-64358</f>
        <v>1585</v>
      </c>
      <c r="R252" s="9">
        <f>109286-108800</f>
        <v>486</v>
      </c>
      <c r="S252" s="9">
        <f>43929-43795</f>
        <v>134</v>
      </c>
      <c r="T252" s="9">
        <f>106460-105333</f>
        <v>1127</v>
      </c>
      <c r="U252" s="9">
        <f>113124-111485</f>
        <v>1639</v>
      </c>
      <c r="V252" s="9">
        <f t="shared" si="39"/>
        <v>17212</v>
      </c>
    </row>
    <row r="253" spans="1:22" ht="18" customHeight="1">
      <c r="A253" s="13" t="s">
        <v>290</v>
      </c>
      <c r="B253" s="9">
        <f>4362-4207</f>
        <v>155</v>
      </c>
      <c r="C253" s="9">
        <f>14971-14399</f>
        <v>572</v>
      </c>
      <c r="D253" s="9">
        <f>8410-8396</f>
        <v>14</v>
      </c>
      <c r="E253" s="9">
        <f>13156-12471</f>
        <v>685</v>
      </c>
      <c r="F253" s="9">
        <f>88100-88088</f>
        <v>12</v>
      </c>
      <c r="G253" s="9">
        <f>74424-73294</f>
        <v>1130</v>
      </c>
      <c r="H253" s="9">
        <f>51165-49840</f>
        <v>1325</v>
      </c>
      <c r="I253" s="9">
        <f>114108-113095</f>
        <v>1013</v>
      </c>
      <c r="J253" s="9">
        <f>83509-80195</f>
        <v>3314</v>
      </c>
      <c r="K253" s="9">
        <f>43430-42869</f>
        <v>561</v>
      </c>
      <c r="L253" s="9">
        <f>86091-85351</f>
        <v>740</v>
      </c>
      <c r="M253" s="9">
        <f>10147-8696+72515-72409+34607-34199</f>
        <v>1965</v>
      </c>
      <c r="N253" s="9">
        <v>0</v>
      </c>
      <c r="O253" s="9">
        <f>74104-71937+101127-98944</f>
        <v>4350</v>
      </c>
      <c r="P253" s="9">
        <f>18135-17346+25695-24711</f>
        <v>1773</v>
      </c>
      <c r="Q253" s="9">
        <f>67715-65943</f>
        <v>1772</v>
      </c>
      <c r="R253" s="9">
        <f>110017-109286</f>
        <v>731</v>
      </c>
      <c r="S253" s="9">
        <f>44203-43929</f>
        <v>274</v>
      </c>
      <c r="T253" s="9">
        <f>107915-106460</f>
        <v>1455</v>
      </c>
      <c r="U253" s="9">
        <f>115024-113124</f>
        <v>1900</v>
      </c>
      <c r="V253" s="9">
        <f t="shared" si="39"/>
        <v>23741</v>
      </c>
    </row>
    <row r="254" spans="1:22" ht="18" customHeight="1">
      <c r="A254" s="13" t="s">
        <v>291</v>
      </c>
      <c r="B254" s="9">
        <f>4603-4362</f>
        <v>241</v>
      </c>
      <c r="C254" s="9">
        <f>15921-14971</f>
        <v>950</v>
      </c>
      <c r="D254" s="9">
        <f>8608-8410</f>
        <v>198</v>
      </c>
      <c r="E254" s="9">
        <f>14351-13156</f>
        <v>1195</v>
      </c>
      <c r="F254" s="9">
        <f>88111-88100</f>
        <v>11</v>
      </c>
      <c r="G254" s="9">
        <f>76009-74424</f>
        <v>1585</v>
      </c>
      <c r="H254" s="9">
        <f>53359-51165</f>
        <v>2194</v>
      </c>
      <c r="I254" s="9">
        <f>115819-114108</f>
        <v>1711</v>
      </c>
      <c r="J254" s="9">
        <f>88037-83509</f>
        <v>4528</v>
      </c>
      <c r="K254" s="9">
        <f>44422-43430</f>
        <v>992</v>
      </c>
      <c r="L254" s="9">
        <f>87540-86091</f>
        <v>1449</v>
      </c>
      <c r="M254" s="9">
        <f>12276-10147+72735-72515+35393-34607</f>
        <v>3135</v>
      </c>
      <c r="N254" s="9">
        <v>0</v>
      </c>
      <c r="O254" s="9">
        <f>77704-74104+104823-101127</f>
        <v>7296</v>
      </c>
      <c r="P254" s="9">
        <f>19484-18135+27395-25695</f>
        <v>3049</v>
      </c>
      <c r="Q254" s="9">
        <f>70485-67715</f>
        <v>2770</v>
      </c>
      <c r="R254" s="9">
        <f>111346-110017</f>
        <v>1329</v>
      </c>
      <c r="S254" s="9">
        <f>44786-44203</f>
        <v>583</v>
      </c>
      <c r="T254" s="9">
        <f>110390-107915</f>
        <v>2475</v>
      </c>
      <c r="U254" s="9">
        <f>118024-115024</f>
        <v>3000</v>
      </c>
      <c r="V254" s="9">
        <f t="shared" si="39"/>
        <v>38691</v>
      </c>
    </row>
    <row r="255" spans="1:22" ht="18" customHeight="1">
      <c r="A255" s="13" t="s">
        <v>292</v>
      </c>
      <c r="B255" s="9">
        <f>4948-4603</f>
        <v>345</v>
      </c>
      <c r="C255" s="9">
        <f>16861-15921</f>
        <v>940</v>
      </c>
      <c r="D255" s="9">
        <f>8898-8608</f>
        <v>290</v>
      </c>
      <c r="E255" s="9">
        <f>15689-14351</f>
        <v>1338</v>
      </c>
      <c r="F255" s="9">
        <f>88115-88111</f>
        <v>4</v>
      </c>
      <c r="G255" s="9">
        <f>77586-76009</f>
        <v>1577</v>
      </c>
      <c r="H255" s="9">
        <f>55549-53359</f>
        <v>2190</v>
      </c>
      <c r="I255" s="9">
        <f>117726-115819</f>
        <v>1907</v>
      </c>
      <c r="J255" s="9">
        <f>92410-88037</f>
        <v>4373</v>
      </c>
      <c r="K255" s="9">
        <f>45658-44422</f>
        <v>1236</v>
      </c>
      <c r="L255" s="9">
        <f>89251-87540</f>
        <v>1711</v>
      </c>
      <c r="M255" s="9">
        <f>14146-12276+73018-72735+36580-35393</f>
        <v>3340</v>
      </c>
      <c r="N255" s="9">
        <v>0</v>
      </c>
      <c r="O255" s="9">
        <f>81673-77704+108907-104823</f>
        <v>8053</v>
      </c>
      <c r="P255" s="9">
        <f>21046-19484+29254-27395</f>
        <v>3421</v>
      </c>
      <c r="Q255" s="9">
        <f>73696-70485</f>
        <v>3211</v>
      </c>
      <c r="R255" s="9">
        <f>112908-111346</f>
        <v>1562</v>
      </c>
      <c r="S255" s="9">
        <f>45483-44786</f>
        <v>697</v>
      </c>
      <c r="T255" s="9">
        <f>113223-110390</f>
        <v>2833</v>
      </c>
      <c r="U255" s="9">
        <f>121262-118024</f>
        <v>3238</v>
      </c>
      <c r="V255" s="9">
        <f t="shared" si="39"/>
        <v>42266</v>
      </c>
    </row>
    <row r="256" spans="1:22" ht="18" customHeight="1">
      <c r="A256" s="13" t="s">
        <v>293</v>
      </c>
      <c r="B256" s="9">
        <f>5636-4948</f>
        <v>688</v>
      </c>
      <c r="C256" s="9">
        <f>17928-16861</f>
        <v>1067</v>
      </c>
      <c r="D256" s="9">
        <v>0</v>
      </c>
      <c r="E256" s="9">
        <f>17621-15689</f>
        <v>1932</v>
      </c>
      <c r="F256" s="9">
        <f>88116-88115</f>
        <v>1</v>
      </c>
      <c r="G256" s="9">
        <f>79944-77586</f>
        <v>2358</v>
      </c>
      <c r="H256" s="9">
        <f>58997-55549</f>
        <v>3448</v>
      </c>
      <c r="I256" s="9">
        <f>120506-117726</f>
        <v>2780</v>
      </c>
      <c r="J256" s="9">
        <f>97942-92410</f>
        <v>5532</v>
      </c>
      <c r="K256" s="9">
        <f>47559-45658</f>
        <v>1901</v>
      </c>
      <c r="L256" s="9">
        <f>91808-89251</f>
        <v>2557</v>
      </c>
      <c r="M256" s="9">
        <f>15447-14146+73553-73018+39594-36580</f>
        <v>4850</v>
      </c>
      <c r="N256" s="9">
        <v>0</v>
      </c>
      <c r="O256" s="9">
        <f>87345-81673+114928-108907</f>
        <v>11693</v>
      </c>
      <c r="P256" s="9">
        <f>23264-21046+31883-29254</f>
        <v>4847</v>
      </c>
      <c r="Q256" s="9">
        <f>78194-73696</f>
        <v>4498</v>
      </c>
      <c r="R256" s="9">
        <f>115281-112908</f>
        <v>2373</v>
      </c>
      <c r="S256" s="9">
        <f>46586-45483</f>
        <v>1103</v>
      </c>
      <c r="T256" s="9">
        <f>117293-113223</f>
        <v>4070</v>
      </c>
      <c r="U256" s="9">
        <f>125391-121262</f>
        <v>4129</v>
      </c>
      <c r="V256" s="9">
        <f t="shared" si="39"/>
        <v>59827</v>
      </c>
    </row>
    <row r="257" spans="1:22" ht="18" customHeight="1">
      <c r="A257" s="15" t="s">
        <v>74</v>
      </c>
      <c r="B257" s="14">
        <f>SUM(B245:B256)</f>
        <v>4770</v>
      </c>
      <c r="C257" s="14">
        <f>SUM(C245:C256)</f>
        <v>10740</v>
      </c>
      <c r="D257" s="14">
        <f aca="true" t="shared" si="40" ref="D257:V257">SUM(D245:D256)</f>
        <v>2172</v>
      </c>
      <c r="E257" s="14">
        <f t="shared" si="40"/>
        <v>16584</v>
      </c>
      <c r="F257" s="14">
        <f t="shared" si="40"/>
        <v>19091</v>
      </c>
      <c r="G257" s="14">
        <f t="shared" si="40"/>
        <v>20294</v>
      </c>
      <c r="H257" s="14">
        <f t="shared" si="40"/>
        <v>29117</v>
      </c>
      <c r="I257" s="14">
        <f t="shared" si="40"/>
        <v>22648</v>
      </c>
      <c r="J257" s="14">
        <f t="shared" si="40"/>
        <v>54875</v>
      </c>
      <c r="K257" s="14">
        <f t="shared" si="40"/>
        <v>13758</v>
      </c>
      <c r="L257" s="14">
        <f t="shared" si="40"/>
        <v>19558</v>
      </c>
      <c r="M257" s="14">
        <f t="shared" si="40"/>
        <v>40381</v>
      </c>
      <c r="N257" s="14">
        <f t="shared" si="40"/>
        <v>0</v>
      </c>
      <c r="O257" s="14">
        <f t="shared" si="40"/>
        <v>89703</v>
      </c>
      <c r="P257" s="14">
        <f t="shared" si="40"/>
        <v>40138</v>
      </c>
      <c r="Q257" s="14">
        <f t="shared" si="40"/>
        <v>37460</v>
      </c>
      <c r="R257" s="14">
        <f t="shared" si="40"/>
        <v>18306</v>
      </c>
      <c r="S257" s="14">
        <f t="shared" si="40"/>
        <v>7396</v>
      </c>
      <c r="T257" s="14">
        <f t="shared" si="40"/>
        <v>34408</v>
      </c>
      <c r="U257" s="14">
        <f t="shared" si="40"/>
        <v>39720</v>
      </c>
      <c r="V257" s="14">
        <f t="shared" si="40"/>
        <v>521119</v>
      </c>
    </row>
    <row r="258" ht="18" customHeight="1"/>
    <row r="259" ht="18" customHeight="1"/>
    <row r="260" spans="1:22" ht="18" customHeight="1">
      <c r="A260" s="9" t="s">
        <v>18</v>
      </c>
      <c r="B260" s="9" t="s">
        <v>0</v>
      </c>
      <c r="C260" s="9" t="s">
        <v>1</v>
      </c>
      <c r="D260" s="9" t="s">
        <v>2</v>
      </c>
      <c r="E260" s="9" t="s">
        <v>3</v>
      </c>
      <c r="F260" s="9" t="s">
        <v>4</v>
      </c>
      <c r="G260" s="9" t="s">
        <v>5</v>
      </c>
      <c r="H260" s="9" t="s">
        <v>6</v>
      </c>
      <c r="I260" s="9" t="s">
        <v>7</v>
      </c>
      <c r="J260" s="9" t="s">
        <v>8</v>
      </c>
      <c r="K260" s="9" t="s">
        <v>9</v>
      </c>
      <c r="L260" s="9" t="s">
        <v>10</v>
      </c>
      <c r="M260" s="9" t="s">
        <v>11</v>
      </c>
      <c r="N260" s="9" t="s">
        <v>12</v>
      </c>
      <c r="O260" s="9" t="s">
        <v>13</v>
      </c>
      <c r="P260" s="9" t="s">
        <v>14</v>
      </c>
      <c r="Q260" s="9" t="s">
        <v>15</v>
      </c>
      <c r="R260" s="9" t="s">
        <v>16</v>
      </c>
      <c r="S260" s="9" t="s">
        <v>17</v>
      </c>
      <c r="T260" s="9" t="s">
        <v>243</v>
      </c>
      <c r="U260" s="9" t="s">
        <v>244</v>
      </c>
      <c r="V260" s="10" t="s">
        <v>134</v>
      </c>
    </row>
    <row r="261" spans="1:22" ht="18" customHeight="1">
      <c r="A261" s="13" t="s">
        <v>318</v>
      </c>
      <c r="B261" s="16">
        <f>6140-5636</f>
        <v>504</v>
      </c>
      <c r="C261" s="2">
        <f>8177-7928</f>
        <v>249</v>
      </c>
      <c r="D261" s="9" t="s">
        <v>317</v>
      </c>
      <c r="E261" s="9">
        <f>8874-7621</f>
        <v>1253</v>
      </c>
      <c r="F261" s="9">
        <v>0</v>
      </c>
      <c r="G261" s="9">
        <f>81389-79944</f>
        <v>1445</v>
      </c>
      <c r="H261" s="9">
        <f>61242-58997</f>
        <v>2245</v>
      </c>
      <c r="I261" s="9">
        <f>22297-20506</f>
        <v>1791</v>
      </c>
      <c r="J261" s="9">
        <f>101593-97942</f>
        <v>3651</v>
      </c>
      <c r="K261" s="9">
        <f>48639-47559</f>
        <v>1080</v>
      </c>
      <c r="L261" s="9">
        <f>93566-91808</f>
        <v>1758</v>
      </c>
      <c r="M261" s="9">
        <f>16299-15447+73759-73553+41972-39594</f>
        <v>3436</v>
      </c>
      <c r="N261" s="9">
        <v>0</v>
      </c>
      <c r="O261" s="9">
        <f>91355-87345+19361-14928</f>
        <v>8443</v>
      </c>
      <c r="P261" s="9">
        <f>25093-23264+34082-31883</f>
        <v>4028</v>
      </c>
      <c r="Q261" s="9">
        <f>81845-78194</f>
        <v>3651</v>
      </c>
      <c r="R261" s="9">
        <f>16657-15281</f>
        <v>1376</v>
      </c>
      <c r="S261" s="9">
        <f>47256-46586</f>
        <v>670</v>
      </c>
      <c r="T261" s="9">
        <f>119872-117293</f>
        <v>2579</v>
      </c>
      <c r="U261" s="9">
        <f>128153-125391</f>
        <v>2762</v>
      </c>
      <c r="V261" s="9">
        <f aca="true" t="shared" si="41" ref="V261:V272">SUM(B261:U261)</f>
        <v>40921</v>
      </c>
    </row>
    <row r="262" spans="1:22" ht="18" customHeight="1">
      <c r="A262" s="13" t="s">
        <v>319</v>
      </c>
      <c r="B262" s="16">
        <f>6777-6140</f>
        <v>637</v>
      </c>
      <c r="C262" s="2">
        <f>9733-8177</f>
        <v>1556</v>
      </c>
      <c r="D262" s="9">
        <f>8928-8898</f>
        <v>30</v>
      </c>
      <c r="E262" s="9">
        <f>10405-8874</f>
        <v>1531</v>
      </c>
      <c r="F262" s="9">
        <v>0</v>
      </c>
      <c r="G262" s="9">
        <f>82864-81389</f>
        <v>1475</v>
      </c>
      <c r="H262" s="9">
        <f>63532-61242</f>
        <v>2290</v>
      </c>
      <c r="I262" s="9">
        <f>24163-22297</f>
        <v>1866</v>
      </c>
      <c r="J262" s="9">
        <f>106346-101593</f>
        <v>4753</v>
      </c>
      <c r="K262" s="9">
        <f>49704-48639</f>
        <v>1065</v>
      </c>
      <c r="L262" s="9">
        <f>95152-93566</f>
        <v>1586</v>
      </c>
      <c r="M262" s="9">
        <f>17587-16299+74003-73759+44433-41972</f>
        <v>3993</v>
      </c>
      <c r="N262" s="9">
        <v>0</v>
      </c>
      <c r="O262" s="9">
        <f>95229-91355+23652-19361</f>
        <v>8165</v>
      </c>
      <c r="P262" s="9">
        <f>26465-25093+35790-34082</f>
        <v>3080</v>
      </c>
      <c r="Q262" s="9">
        <f>85720-81845</f>
        <v>3875</v>
      </c>
      <c r="R262" s="9">
        <f>18180-16657</f>
        <v>1523</v>
      </c>
      <c r="S262" s="9">
        <f>47919-47256</f>
        <v>663</v>
      </c>
      <c r="T262" s="9">
        <f>122934-119872</f>
        <v>3062</v>
      </c>
      <c r="U262" s="9">
        <f>131922-128153</f>
        <v>3769</v>
      </c>
      <c r="V262" s="9">
        <f t="shared" si="41"/>
        <v>44919</v>
      </c>
    </row>
    <row r="263" spans="1:22" ht="18" customHeight="1">
      <c r="A263" s="13" t="s">
        <v>320</v>
      </c>
      <c r="B263" s="16">
        <f>7434-6777</f>
        <v>657</v>
      </c>
      <c r="C263" s="2">
        <f>10783-9733</f>
        <v>1050</v>
      </c>
      <c r="D263" s="9">
        <f>8928-8928</f>
        <v>0</v>
      </c>
      <c r="E263" s="9">
        <f>12546-10405</f>
        <v>2141</v>
      </c>
      <c r="F263" s="9">
        <f>88748-88116</f>
        <v>632</v>
      </c>
      <c r="G263" s="9">
        <f>85293-82864</f>
        <v>2429</v>
      </c>
      <c r="H263" s="9">
        <f>66929-63532</f>
        <v>3397</v>
      </c>
      <c r="I263" s="9">
        <f>27021-24163</f>
        <v>2858</v>
      </c>
      <c r="J263" s="9">
        <f>111746-106346</f>
        <v>5400</v>
      </c>
      <c r="K263" s="9">
        <f>51387-49704</f>
        <v>1683</v>
      </c>
      <c r="L263" s="9">
        <f>97819-95152</f>
        <v>2667</v>
      </c>
      <c r="M263" s="9">
        <f>19026-17587+74405-74003+47076-44433</f>
        <v>4484</v>
      </c>
      <c r="N263" s="9">
        <v>0</v>
      </c>
      <c r="O263" s="9">
        <f>101250-95229+30066-23652</f>
        <v>12435</v>
      </c>
      <c r="P263" s="9">
        <f>28495-26465+38256-35790</f>
        <v>4496</v>
      </c>
      <c r="Q263" s="9">
        <f>90001-85720</f>
        <v>4281</v>
      </c>
      <c r="R263" s="9">
        <f>20519-18180</f>
        <v>2339</v>
      </c>
      <c r="S263" s="9">
        <f>49000-47919</f>
        <v>1081</v>
      </c>
      <c r="T263" s="9">
        <f>126747-122934</f>
        <v>3813</v>
      </c>
      <c r="U263" s="8">
        <f>135954-131922</f>
        <v>4032</v>
      </c>
      <c r="V263" s="9">
        <f t="shared" si="41"/>
        <v>59875</v>
      </c>
    </row>
    <row r="264" spans="1:22" ht="18" customHeight="1">
      <c r="A264" s="13" t="s">
        <v>321</v>
      </c>
      <c r="B264" s="9">
        <v>507</v>
      </c>
      <c r="C264" s="92">
        <v>789</v>
      </c>
      <c r="D264" s="9">
        <v>0</v>
      </c>
      <c r="E264" s="9">
        <v>1492</v>
      </c>
      <c r="F264" s="9">
        <v>923</v>
      </c>
      <c r="G264" s="9">
        <v>1736</v>
      </c>
      <c r="H264" s="9">
        <v>2412</v>
      </c>
      <c r="I264" s="9">
        <v>2407</v>
      </c>
      <c r="J264" s="9">
        <v>4625</v>
      </c>
      <c r="K264" s="9">
        <v>1218</v>
      </c>
      <c r="L264" s="9">
        <v>1939</v>
      </c>
      <c r="M264" s="9">
        <f>902+96+2231</f>
        <v>3229</v>
      </c>
      <c r="N264" s="9">
        <v>0</v>
      </c>
      <c r="O264" s="9">
        <f>4236+4454</f>
        <v>8690</v>
      </c>
      <c r="P264" s="9">
        <f>1596+1894</f>
        <v>3490</v>
      </c>
      <c r="Q264" s="9">
        <v>3320</v>
      </c>
      <c r="R264" s="9">
        <v>1681</v>
      </c>
      <c r="S264" s="9">
        <v>759</v>
      </c>
      <c r="T264" s="9">
        <v>2539</v>
      </c>
      <c r="U264" s="9">
        <v>2760</v>
      </c>
      <c r="V264" s="9">
        <f t="shared" si="41"/>
        <v>44516</v>
      </c>
    </row>
    <row r="265" spans="1:22" ht="18" customHeight="1">
      <c r="A265" s="13" t="s">
        <v>322</v>
      </c>
      <c r="B265" s="9">
        <f>8343-7941</f>
        <v>402</v>
      </c>
      <c r="C265" s="9">
        <f>12249-11572</f>
        <v>677</v>
      </c>
      <c r="D265" s="9">
        <f>0</f>
        <v>0</v>
      </c>
      <c r="E265" s="9">
        <f>15344-14038</f>
        <v>1306</v>
      </c>
      <c r="F265" s="9">
        <f>90492-89671</f>
        <v>821</v>
      </c>
      <c r="G265" s="9">
        <f>88501-87029</f>
        <v>1472</v>
      </c>
      <c r="H265" s="9">
        <f>71339-69341</f>
        <v>1998</v>
      </c>
      <c r="I265" s="9">
        <f>31878-29428</f>
        <v>2450</v>
      </c>
      <c r="J265" s="9">
        <f>122946-116371</f>
        <v>6575</v>
      </c>
      <c r="K265" s="9">
        <f>53656-52605</f>
        <v>1051</v>
      </c>
      <c r="L265" s="9">
        <f>101559-99758</f>
        <v>1801</v>
      </c>
      <c r="M265" s="9">
        <f>20909-19928+74611-74501+51040-49307</f>
        <v>2824</v>
      </c>
      <c r="N265" s="9">
        <v>0</v>
      </c>
      <c r="O265" s="9">
        <f>109471-105486+38438-34520</f>
        <v>7903</v>
      </c>
      <c r="P265" s="9">
        <f>31656-30091+41878-40150</f>
        <v>3293</v>
      </c>
      <c r="Q265" s="9">
        <f>96326-93321</f>
        <v>3005</v>
      </c>
      <c r="R265" s="9">
        <f>23299-22200</f>
        <v>1099</v>
      </c>
      <c r="S265" s="9">
        <f>50383-49759</f>
        <v>624</v>
      </c>
      <c r="T265" s="9">
        <f>131498-129286</f>
        <v>2212</v>
      </c>
      <c r="U265" s="9">
        <f>141070-138714</f>
        <v>2356</v>
      </c>
      <c r="V265" s="9">
        <f t="shared" si="41"/>
        <v>41869</v>
      </c>
    </row>
    <row r="266" spans="1:22" ht="18" customHeight="1">
      <c r="A266" s="13" t="s">
        <v>323</v>
      </c>
      <c r="B266" s="9">
        <v>358</v>
      </c>
      <c r="C266" s="9">
        <v>564</v>
      </c>
      <c r="D266" s="9">
        <v>0</v>
      </c>
      <c r="E266" s="9">
        <v>935</v>
      </c>
      <c r="F266" s="9">
        <v>677</v>
      </c>
      <c r="G266" s="9">
        <v>1213</v>
      </c>
      <c r="H266" s="9">
        <v>1551</v>
      </c>
      <c r="I266" s="9">
        <v>1417</v>
      </c>
      <c r="J266" s="9">
        <v>6312</v>
      </c>
      <c r="K266" s="9">
        <v>892</v>
      </c>
      <c r="L266" s="9">
        <v>1505</v>
      </c>
      <c r="M266" s="9">
        <v>2726</v>
      </c>
      <c r="N266" s="9">
        <v>0</v>
      </c>
      <c r="O266" s="9">
        <v>6698</v>
      </c>
      <c r="P266" s="9">
        <v>2934</v>
      </c>
      <c r="Q266" s="9">
        <v>2623</v>
      </c>
      <c r="R266" s="9">
        <v>1599</v>
      </c>
      <c r="S266" s="9">
        <v>455</v>
      </c>
      <c r="T266" s="9">
        <v>2107</v>
      </c>
      <c r="U266" s="9">
        <v>2255</v>
      </c>
      <c r="V266" s="9">
        <f t="shared" si="41"/>
        <v>36821</v>
      </c>
    </row>
    <row r="267" spans="1:22" ht="18" customHeight="1">
      <c r="A267" s="13" t="s">
        <v>324</v>
      </c>
      <c r="B267" s="9">
        <v>252</v>
      </c>
      <c r="C267" s="9">
        <v>416</v>
      </c>
      <c r="D267" s="9">
        <v>14</v>
      </c>
      <c r="E267" s="9">
        <v>453</v>
      </c>
      <c r="F267" s="9">
        <v>159</v>
      </c>
      <c r="G267" s="9">
        <v>249</v>
      </c>
      <c r="H267" s="9">
        <v>685</v>
      </c>
      <c r="I267" s="9">
        <v>503</v>
      </c>
      <c r="J267" s="9">
        <v>5761</v>
      </c>
      <c r="K267" s="9">
        <v>273</v>
      </c>
      <c r="L267" s="9">
        <v>276</v>
      </c>
      <c r="M267" s="9">
        <v>2110</v>
      </c>
      <c r="N267" s="9">
        <v>0</v>
      </c>
      <c r="O267" s="9">
        <v>3152</v>
      </c>
      <c r="P267" s="9">
        <v>2334</v>
      </c>
      <c r="Q267" s="9">
        <v>1971</v>
      </c>
      <c r="R267" s="9">
        <v>589</v>
      </c>
      <c r="S267" s="9">
        <v>222</v>
      </c>
      <c r="T267" s="9">
        <v>1528</v>
      </c>
      <c r="U267" s="9">
        <v>890</v>
      </c>
      <c r="V267" s="9">
        <f t="shared" si="41"/>
        <v>21837</v>
      </c>
    </row>
    <row r="268" spans="1:22" ht="18" customHeight="1">
      <c r="A268" s="13" t="s">
        <v>325</v>
      </c>
      <c r="B268" s="9">
        <v>215</v>
      </c>
      <c r="C268" s="9">
        <v>372</v>
      </c>
      <c r="D268" s="9">
        <v>0</v>
      </c>
      <c r="E268" s="9">
        <v>561</v>
      </c>
      <c r="F268" s="9">
        <v>159</v>
      </c>
      <c r="G268" s="9">
        <v>204</v>
      </c>
      <c r="H268" s="9">
        <v>616</v>
      </c>
      <c r="I268" s="9">
        <v>486</v>
      </c>
      <c r="J268" s="9">
        <v>5587</v>
      </c>
      <c r="K268" s="9">
        <v>229</v>
      </c>
      <c r="L268" s="9">
        <v>337</v>
      </c>
      <c r="M268" s="9">
        <v>1987</v>
      </c>
      <c r="N268" s="9">
        <v>0</v>
      </c>
      <c r="O268" s="9">
        <v>2522</v>
      </c>
      <c r="P268" s="9">
        <v>2148</v>
      </c>
      <c r="Q268" s="9">
        <v>1950</v>
      </c>
      <c r="R268" s="9">
        <v>529</v>
      </c>
      <c r="S268" s="9">
        <v>199</v>
      </c>
      <c r="T268" s="9">
        <v>1678</v>
      </c>
      <c r="U268" s="9">
        <v>462</v>
      </c>
      <c r="V268" s="9">
        <f t="shared" si="41"/>
        <v>20241</v>
      </c>
    </row>
    <row r="269" spans="1:22" ht="18" customHeight="1">
      <c r="A269" s="13" t="s">
        <v>326</v>
      </c>
      <c r="B269" s="9">
        <v>244</v>
      </c>
      <c r="C269" s="9">
        <v>416</v>
      </c>
      <c r="D269" s="9">
        <v>48</v>
      </c>
      <c r="E269" s="9">
        <v>694</v>
      </c>
      <c r="F269" s="9">
        <v>474</v>
      </c>
      <c r="G269" s="9">
        <v>677</v>
      </c>
      <c r="H269" s="9">
        <v>1191</v>
      </c>
      <c r="I269" s="9">
        <v>884</v>
      </c>
      <c r="J269" s="9">
        <v>6196</v>
      </c>
      <c r="K269" s="9">
        <v>621</v>
      </c>
      <c r="L269" s="9">
        <v>693</v>
      </c>
      <c r="M269" s="9">
        <v>711</v>
      </c>
      <c r="N269" s="9">
        <v>0</v>
      </c>
      <c r="O269" s="9">
        <v>3519</v>
      </c>
      <c r="P269" s="9">
        <v>2107</v>
      </c>
      <c r="Q269" s="9">
        <v>492</v>
      </c>
      <c r="R269" s="9">
        <v>702</v>
      </c>
      <c r="S269" s="9">
        <v>352</v>
      </c>
      <c r="T269" s="9">
        <v>1995</v>
      </c>
      <c r="U269" s="9">
        <v>1762</v>
      </c>
      <c r="V269" s="9">
        <f t="shared" si="41"/>
        <v>23778</v>
      </c>
    </row>
    <row r="270" spans="1:22" ht="18" customHeight="1">
      <c r="A270" s="13" t="s">
        <v>327</v>
      </c>
      <c r="B270" s="9">
        <v>381</v>
      </c>
      <c r="C270" s="9">
        <v>603</v>
      </c>
      <c r="D270" s="9">
        <v>88</v>
      </c>
      <c r="E270" s="9">
        <v>1275</v>
      </c>
      <c r="F270" s="9">
        <v>681</v>
      </c>
      <c r="G270" s="9">
        <v>1152</v>
      </c>
      <c r="H270" s="9">
        <v>1878</v>
      </c>
      <c r="I270" s="9">
        <v>1435</v>
      </c>
      <c r="J270" s="9">
        <v>6360</v>
      </c>
      <c r="K270" s="9">
        <v>956</v>
      </c>
      <c r="L270" s="9">
        <v>1255</v>
      </c>
      <c r="M270" s="9">
        <v>647</v>
      </c>
      <c r="N270" s="9">
        <v>0</v>
      </c>
      <c r="O270" s="9">
        <v>4679</v>
      </c>
      <c r="P270" s="9">
        <v>3308</v>
      </c>
      <c r="Q270" s="9">
        <v>549</v>
      </c>
      <c r="R270" s="9">
        <v>1361</v>
      </c>
      <c r="S270" s="9">
        <v>692</v>
      </c>
      <c r="T270" s="9">
        <v>2726</v>
      </c>
      <c r="U270" s="9">
        <v>2838</v>
      </c>
      <c r="V270" s="9">
        <f t="shared" si="41"/>
        <v>32864</v>
      </c>
    </row>
    <row r="271" spans="1:22" ht="18" customHeight="1">
      <c r="A271" s="13" t="s">
        <v>328</v>
      </c>
      <c r="B271" s="9">
        <v>540</v>
      </c>
      <c r="C271" s="9">
        <v>875</v>
      </c>
      <c r="D271" s="9">
        <v>127</v>
      </c>
      <c r="E271" s="9">
        <v>1763</v>
      </c>
      <c r="F271" s="9">
        <v>1141</v>
      </c>
      <c r="G271" s="9">
        <v>1654</v>
      </c>
      <c r="H271" s="9">
        <v>2824</v>
      </c>
      <c r="I271" s="9">
        <v>1997</v>
      </c>
      <c r="J271" s="9">
        <v>7511</v>
      </c>
      <c r="K271" s="9">
        <v>1341</v>
      </c>
      <c r="L271" s="9">
        <v>1822</v>
      </c>
      <c r="M271" s="9">
        <v>749</v>
      </c>
      <c r="N271" s="9">
        <v>0</v>
      </c>
      <c r="O271" s="9">
        <v>6021</v>
      </c>
      <c r="P271" s="9">
        <v>4065</v>
      </c>
      <c r="Q271" s="9">
        <v>610</v>
      </c>
      <c r="R271" s="9">
        <v>2017</v>
      </c>
      <c r="S271" s="9">
        <v>957</v>
      </c>
      <c r="T271" s="9">
        <v>3566</v>
      </c>
      <c r="U271" s="9">
        <v>3598</v>
      </c>
      <c r="V271" s="9">
        <f t="shared" si="41"/>
        <v>43178</v>
      </c>
    </row>
    <row r="272" spans="1:22" ht="18" customHeight="1">
      <c r="A272" s="13" t="s">
        <v>329</v>
      </c>
      <c r="B272" s="9">
        <v>508</v>
      </c>
      <c r="C272" s="9">
        <v>780</v>
      </c>
      <c r="D272" s="9">
        <v>125</v>
      </c>
      <c r="E272" s="9">
        <v>1634</v>
      </c>
      <c r="F272" s="9">
        <v>1109</v>
      </c>
      <c r="G272" s="9">
        <v>1535</v>
      </c>
      <c r="H272" s="9">
        <v>2594</v>
      </c>
      <c r="I272" s="9">
        <v>1905</v>
      </c>
      <c r="J272" s="9">
        <v>5965</v>
      </c>
      <c r="K272" s="9">
        <v>1271</v>
      </c>
      <c r="L272" s="9">
        <v>1694</v>
      </c>
      <c r="M272" s="9">
        <v>481</v>
      </c>
      <c r="N272" s="9">
        <v>0</v>
      </c>
      <c r="O272" s="9">
        <v>7981</v>
      </c>
      <c r="P272" s="9">
        <v>3549</v>
      </c>
      <c r="Q272" s="9">
        <v>590</v>
      </c>
      <c r="R272" s="9">
        <v>1864</v>
      </c>
      <c r="S272" s="9">
        <v>887</v>
      </c>
      <c r="T272" s="9">
        <v>3158</v>
      </c>
      <c r="U272" s="9">
        <v>3174</v>
      </c>
      <c r="V272" s="9">
        <f t="shared" si="41"/>
        <v>40804</v>
      </c>
    </row>
    <row r="273" spans="1:22" ht="18" customHeight="1">
      <c r="A273" s="15" t="s">
        <v>74</v>
      </c>
      <c r="B273" s="14">
        <f aca="true" t="shared" si="42" ref="B273:V273">SUM(B261:B272)</f>
        <v>5205</v>
      </c>
      <c r="C273" s="14">
        <f t="shared" si="42"/>
        <v>8347</v>
      </c>
      <c r="D273" s="14">
        <f t="shared" si="42"/>
        <v>432</v>
      </c>
      <c r="E273" s="14">
        <f t="shared" si="42"/>
        <v>15038</v>
      </c>
      <c r="F273" s="14">
        <f t="shared" si="42"/>
        <v>6776</v>
      </c>
      <c r="G273" s="14">
        <f t="shared" si="42"/>
        <v>15241</v>
      </c>
      <c r="H273" s="14">
        <f t="shared" si="42"/>
        <v>23681</v>
      </c>
      <c r="I273" s="14">
        <f t="shared" si="42"/>
        <v>19999</v>
      </c>
      <c r="J273" s="14">
        <f t="shared" si="42"/>
        <v>68696</v>
      </c>
      <c r="K273" s="14">
        <f t="shared" si="42"/>
        <v>11680</v>
      </c>
      <c r="L273" s="14">
        <f t="shared" si="42"/>
        <v>17333</v>
      </c>
      <c r="M273" s="14">
        <f t="shared" si="42"/>
        <v>27377</v>
      </c>
      <c r="N273" s="14">
        <f t="shared" si="42"/>
        <v>0</v>
      </c>
      <c r="O273" s="14">
        <f t="shared" si="42"/>
        <v>80208</v>
      </c>
      <c r="P273" s="14">
        <f t="shared" si="42"/>
        <v>38832</v>
      </c>
      <c r="Q273" s="14">
        <f t="shared" si="42"/>
        <v>26917</v>
      </c>
      <c r="R273" s="14">
        <f t="shared" si="42"/>
        <v>16679</v>
      </c>
      <c r="S273" s="14">
        <f t="shared" si="42"/>
        <v>7561</v>
      </c>
      <c r="T273" s="14">
        <f t="shared" si="42"/>
        <v>30963</v>
      </c>
      <c r="U273" s="14">
        <f t="shared" si="42"/>
        <v>30658</v>
      </c>
      <c r="V273" s="14">
        <f t="shared" si="42"/>
        <v>451623</v>
      </c>
    </row>
    <row r="274" ht="18" customHeight="1"/>
    <row r="275" ht="18" customHeight="1"/>
    <row r="276" spans="1:22" ht="18" customHeight="1">
      <c r="A276" s="9" t="s">
        <v>18</v>
      </c>
      <c r="B276" s="9" t="s">
        <v>0</v>
      </c>
      <c r="C276" s="9" t="s">
        <v>1</v>
      </c>
      <c r="D276" s="9" t="s">
        <v>2</v>
      </c>
      <c r="E276" s="9" t="s">
        <v>3</v>
      </c>
      <c r="F276" s="9" t="s">
        <v>4</v>
      </c>
      <c r="G276" s="9" t="s">
        <v>5</v>
      </c>
      <c r="H276" s="9" t="s">
        <v>6</v>
      </c>
      <c r="I276" s="9" t="s">
        <v>7</v>
      </c>
      <c r="J276" s="9" t="s">
        <v>8</v>
      </c>
      <c r="K276" s="9" t="s">
        <v>9</v>
      </c>
      <c r="L276" s="9" t="s">
        <v>10</v>
      </c>
      <c r="M276" s="9" t="s">
        <v>11</v>
      </c>
      <c r="N276" s="9" t="s">
        <v>12</v>
      </c>
      <c r="O276" s="9" t="s">
        <v>13</v>
      </c>
      <c r="P276" s="9" t="s">
        <v>14</v>
      </c>
      <c r="Q276" s="9" t="s">
        <v>15</v>
      </c>
      <c r="R276" s="9" t="s">
        <v>16</v>
      </c>
      <c r="S276" s="9" t="s">
        <v>17</v>
      </c>
      <c r="T276" s="9" t="s">
        <v>243</v>
      </c>
      <c r="U276" s="9" t="s">
        <v>244</v>
      </c>
      <c r="V276" s="10" t="s">
        <v>134</v>
      </c>
    </row>
    <row r="277" spans="1:22" ht="18" customHeight="1">
      <c r="A277" s="13" t="s">
        <v>343</v>
      </c>
      <c r="B277" s="16">
        <v>793</v>
      </c>
      <c r="C277" s="2">
        <v>1263</v>
      </c>
      <c r="D277" s="9">
        <v>156</v>
      </c>
      <c r="E277" s="9">
        <v>2360</v>
      </c>
      <c r="F277" s="9">
        <v>1639</v>
      </c>
      <c r="G277" s="9">
        <v>2228</v>
      </c>
      <c r="H277" s="9">
        <v>4130</v>
      </c>
      <c r="I277" s="9">
        <v>2711</v>
      </c>
      <c r="J277" s="9">
        <v>5074</v>
      </c>
      <c r="K277" s="9">
        <v>1844</v>
      </c>
      <c r="L277" s="9">
        <v>2634</v>
      </c>
      <c r="M277" s="9">
        <v>766</v>
      </c>
      <c r="N277" s="9">
        <v>0</v>
      </c>
      <c r="O277" s="9">
        <v>14696</v>
      </c>
      <c r="P277" s="9">
        <v>5210</v>
      </c>
      <c r="Q277" s="9">
        <v>1604</v>
      </c>
      <c r="R277" s="9">
        <v>2671</v>
      </c>
      <c r="S277" s="9">
        <v>1321</v>
      </c>
      <c r="T277" s="9">
        <v>4882</v>
      </c>
      <c r="U277" s="9">
        <v>4549</v>
      </c>
      <c r="V277" s="9">
        <f aca="true" t="shared" si="43" ref="V277:V288">SUM(B277:U277)</f>
        <v>60531</v>
      </c>
    </row>
    <row r="278" spans="1:22" ht="18" customHeight="1">
      <c r="A278" s="13" t="s">
        <v>344</v>
      </c>
      <c r="B278" s="16">
        <v>450</v>
      </c>
      <c r="C278" s="2">
        <v>722</v>
      </c>
      <c r="D278" s="9">
        <v>82</v>
      </c>
      <c r="E278" s="9">
        <v>1035</v>
      </c>
      <c r="F278" s="9">
        <v>658</v>
      </c>
      <c r="G278" s="9">
        <v>991</v>
      </c>
      <c r="H278" s="9">
        <v>1723</v>
      </c>
      <c r="I278" s="9">
        <v>1314</v>
      </c>
      <c r="J278" s="9">
        <v>2152</v>
      </c>
      <c r="K278" s="9">
        <v>698</v>
      </c>
      <c r="L278" s="9">
        <v>1146</v>
      </c>
      <c r="M278" s="9">
        <v>1339</v>
      </c>
      <c r="N278" s="9">
        <v>0</v>
      </c>
      <c r="O278" s="9">
        <v>7113</v>
      </c>
      <c r="P278" s="9">
        <v>2367</v>
      </c>
      <c r="Q278" s="9">
        <v>1849</v>
      </c>
      <c r="R278" s="9">
        <v>1084</v>
      </c>
      <c r="S278" s="9">
        <v>486</v>
      </c>
      <c r="T278" s="9">
        <v>2335</v>
      </c>
      <c r="U278" s="9">
        <v>2249</v>
      </c>
      <c r="V278" s="9">
        <f t="shared" si="43"/>
        <v>29793</v>
      </c>
    </row>
    <row r="279" spans="1:22" ht="18" customHeight="1">
      <c r="A279" s="13" t="s">
        <v>345</v>
      </c>
      <c r="B279" s="16">
        <v>717</v>
      </c>
      <c r="C279" s="2">
        <v>1134</v>
      </c>
      <c r="D279" s="9">
        <v>170</v>
      </c>
      <c r="E279" s="9">
        <v>2184</v>
      </c>
      <c r="F279" s="9">
        <v>1583</v>
      </c>
      <c r="G279" s="9">
        <v>2249</v>
      </c>
      <c r="H279" s="9">
        <v>3862</v>
      </c>
      <c r="I279" s="9">
        <v>2748</v>
      </c>
      <c r="J279" s="9">
        <v>3969</v>
      </c>
      <c r="K279" s="9">
        <v>1689</v>
      </c>
      <c r="L279" s="9">
        <v>2814</v>
      </c>
      <c r="M279" s="9">
        <v>4408</v>
      </c>
      <c r="N279" s="9">
        <v>0</v>
      </c>
      <c r="O279" s="9">
        <v>1458</v>
      </c>
      <c r="P279" s="9">
        <v>5148</v>
      </c>
      <c r="Q279" s="9">
        <v>4277</v>
      </c>
      <c r="R279" s="9">
        <v>2569</v>
      </c>
      <c r="S279" s="9">
        <v>1157</v>
      </c>
      <c r="T279" s="9">
        <v>4382</v>
      </c>
      <c r="U279" s="8">
        <v>4959</v>
      </c>
      <c r="V279" s="9">
        <f t="shared" si="43"/>
        <v>51477</v>
      </c>
    </row>
    <row r="280" spans="1:22" ht="18" customHeight="1">
      <c r="A280" s="13" t="s">
        <v>346</v>
      </c>
      <c r="B280" s="9">
        <v>625</v>
      </c>
      <c r="C280" s="92">
        <v>981</v>
      </c>
      <c r="D280" s="9">
        <v>128</v>
      </c>
      <c r="E280" s="9">
        <v>1803</v>
      </c>
      <c r="F280" s="9">
        <v>1264</v>
      </c>
      <c r="G280" s="9">
        <v>1800</v>
      </c>
      <c r="H280" s="9">
        <v>3173</v>
      </c>
      <c r="I280" s="9">
        <v>2212</v>
      </c>
      <c r="J280" s="9">
        <v>3311</v>
      </c>
      <c r="K280" s="9">
        <v>1413</v>
      </c>
      <c r="L280" s="9">
        <v>2232</v>
      </c>
      <c r="M280" s="9">
        <v>3496</v>
      </c>
      <c r="N280" s="9">
        <v>0</v>
      </c>
      <c r="O280" s="9">
        <v>93</v>
      </c>
      <c r="P280" s="9">
        <v>4469</v>
      </c>
      <c r="Q280" s="9">
        <v>3643</v>
      </c>
      <c r="R280" s="9">
        <v>2137</v>
      </c>
      <c r="S280" s="9">
        <v>1018</v>
      </c>
      <c r="T280" s="9">
        <v>3639</v>
      </c>
      <c r="U280" s="9">
        <v>4143</v>
      </c>
      <c r="V280" s="9">
        <f t="shared" si="43"/>
        <v>41580</v>
      </c>
    </row>
    <row r="281" spans="1:22" ht="18" customHeight="1">
      <c r="A281" s="13" t="s">
        <v>347</v>
      </c>
      <c r="B281" s="9">
        <v>490</v>
      </c>
      <c r="C281" s="9">
        <v>758</v>
      </c>
      <c r="D281" s="9">
        <v>106</v>
      </c>
      <c r="E281" s="9">
        <v>1407</v>
      </c>
      <c r="F281" s="9">
        <v>1034</v>
      </c>
      <c r="G281" s="9">
        <v>1485</v>
      </c>
      <c r="H281" s="9">
        <v>2466</v>
      </c>
      <c r="I281" s="9">
        <v>1851</v>
      </c>
      <c r="J281" s="9">
        <v>2604</v>
      </c>
      <c r="K281" s="9">
        <v>1153</v>
      </c>
      <c r="L281" s="9">
        <v>1859</v>
      </c>
      <c r="M281" s="9">
        <v>2972</v>
      </c>
      <c r="N281" s="9">
        <v>0</v>
      </c>
      <c r="O281" s="9">
        <v>0</v>
      </c>
      <c r="P281" s="9">
        <v>4174</v>
      </c>
      <c r="Q281" s="9">
        <v>3186</v>
      </c>
      <c r="R281" s="9">
        <v>1738</v>
      </c>
      <c r="S281" s="9">
        <v>817</v>
      </c>
      <c r="T281" s="9">
        <v>2943</v>
      </c>
      <c r="U281" s="9">
        <v>3508</v>
      </c>
      <c r="V281" s="9">
        <f t="shared" si="43"/>
        <v>34551</v>
      </c>
    </row>
    <row r="282" spans="1:22" ht="18" customHeight="1">
      <c r="A282" s="13" t="s">
        <v>348</v>
      </c>
      <c r="B282" s="9">
        <v>355</v>
      </c>
      <c r="C282" s="9">
        <v>546</v>
      </c>
      <c r="D282" s="9">
        <v>74</v>
      </c>
      <c r="E282" s="9">
        <v>959</v>
      </c>
      <c r="F282" s="9">
        <v>738</v>
      </c>
      <c r="G282" s="9">
        <v>1060</v>
      </c>
      <c r="H282" s="9">
        <v>1722</v>
      </c>
      <c r="I282" s="9">
        <v>1387</v>
      </c>
      <c r="J282" s="9">
        <v>2030</v>
      </c>
      <c r="K282" s="9">
        <v>802</v>
      </c>
      <c r="L282" s="9">
        <v>1316</v>
      </c>
      <c r="M282" s="9">
        <v>2097</v>
      </c>
      <c r="N282" s="9">
        <v>0</v>
      </c>
      <c r="O282" s="9">
        <v>0</v>
      </c>
      <c r="P282" s="9">
        <v>2688</v>
      </c>
      <c r="Q282" s="9">
        <v>1876</v>
      </c>
      <c r="R282" s="9">
        <v>992</v>
      </c>
      <c r="S282" s="9">
        <v>457</v>
      </c>
      <c r="T282" s="9">
        <v>2132</v>
      </c>
      <c r="U282" s="9">
        <v>2622</v>
      </c>
      <c r="V282" s="9">
        <f t="shared" si="43"/>
        <v>23853</v>
      </c>
    </row>
    <row r="283" spans="1:22" ht="18" customHeight="1">
      <c r="A283" s="13" t="s">
        <v>349</v>
      </c>
      <c r="B283" s="9">
        <v>281</v>
      </c>
      <c r="C283" s="9">
        <v>425</v>
      </c>
      <c r="D283" s="9">
        <v>56</v>
      </c>
      <c r="E283" s="9">
        <v>372</v>
      </c>
      <c r="F283" s="9">
        <v>246</v>
      </c>
      <c r="G283" s="9">
        <v>394</v>
      </c>
      <c r="H283" s="9">
        <v>797</v>
      </c>
      <c r="I283" s="9">
        <v>414</v>
      </c>
      <c r="J283" s="9">
        <v>1329</v>
      </c>
      <c r="K283" s="9">
        <v>327</v>
      </c>
      <c r="L283" s="9">
        <v>260</v>
      </c>
      <c r="M283" s="9">
        <v>1014</v>
      </c>
      <c r="N283" s="9">
        <v>0</v>
      </c>
      <c r="O283" s="9">
        <v>0</v>
      </c>
      <c r="P283" s="9">
        <v>1560</v>
      </c>
      <c r="Q283" s="9">
        <v>1506</v>
      </c>
      <c r="R283" s="9">
        <v>535</v>
      </c>
      <c r="S283" s="9">
        <v>223</v>
      </c>
      <c r="T283" s="9">
        <v>1419</v>
      </c>
      <c r="U283" s="9">
        <v>880</v>
      </c>
      <c r="V283" s="9">
        <f t="shared" si="43"/>
        <v>12038</v>
      </c>
    </row>
    <row r="284" spans="1:22" ht="18" customHeight="1">
      <c r="A284" s="13" t="s">
        <v>350</v>
      </c>
      <c r="B284" s="9">
        <v>246</v>
      </c>
      <c r="C284" s="9">
        <v>395</v>
      </c>
      <c r="D284" s="9">
        <v>36</v>
      </c>
      <c r="E284" s="9">
        <v>316</v>
      </c>
      <c r="F284" s="9">
        <v>217</v>
      </c>
      <c r="G284" s="9">
        <v>266</v>
      </c>
      <c r="H284" s="9">
        <v>625</v>
      </c>
      <c r="I284" s="9">
        <v>269</v>
      </c>
      <c r="J284" s="9">
        <v>1228</v>
      </c>
      <c r="K284" s="9">
        <v>213</v>
      </c>
      <c r="L284" s="9">
        <v>317</v>
      </c>
      <c r="M284" s="9">
        <v>990</v>
      </c>
      <c r="N284" s="9">
        <v>0</v>
      </c>
      <c r="O284" s="9">
        <v>1840</v>
      </c>
      <c r="P284" s="9">
        <v>1352</v>
      </c>
      <c r="Q284" s="9">
        <v>1126</v>
      </c>
      <c r="R284" s="9">
        <v>426</v>
      </c>
      <c r="S284" s="9">
        <v>204</v>
      </c>
      <c r="T284" s="9">
        <v>1354</v>
      </c>
      <c r="U284" s="9">
        <v>890</v>
      </c>
      <c r="V284" s="9">
        <f t="shared" si="43"/>
        <v>12310</v>
      </c>
    </row>
    <row r="285" spans="1:22" ht="18" customHeight="1">
      <c r="A285" s="13" t="s">
        <v>351</v>
      </c>
      <c r="B285" s="9">
        <v>271</v>
      </c>
      <c r="C285" s="9">
        <v>364</v>
      </c>
      <c r="D285" s="9">
        <v>66</v>
      </c>
      <c r="E285" s="9">
        <v>559</v>
      </c>
      <c r="F285" s="9">
        <v>435</v>
      </c>
      <c r="G285" s="9">
        <v>575</v>
      </c>
      <c r="H285" s="9">
        <v>1028</v>
      </c>
      <c r="I285" s="9">
        <v>308</v>
      </c>
      <c r="J285" s="9">
        <v>1782</v>
      </c>
      <c r="K285" s="9">
        <v>493</v>
      </c>
      <c r="L285" s="9">
        <v>637</v>
      </c>
      <c r="M285" s="9">
        <v>1423</v>
      </c>
      <c r="N285" s="9">
        <v>0</v>
      </c>
      <c r="O285" s="9">
        <v>4630</v>
      </c>
      <c r="P285" s="9">
        <v>1705</v>
      </c>
      <c r="Q285" s="9">
        <v>1350</v>
      </c>
      <c r="R285" s="9">
        <v>642</v>
      </c>
      <c r="S285" s="9">
        <v>311</v>
      </c>
      <c r="T285" s="9">
        <v>1500</v>
      </c>
      <c r="U285" s="9">
        <v>1417</v>
      </c>
      <c r="V285" s="9">
        <f t="shared" si="43"/>
        <v>19496</v>
      </c>
    </row>
    <row r="286" spans="1:22" ht="18" customHeight="1">
      <c r="A286" s="13" t="s">
        <v>352</v>
      </c>
      <c r="B286" s="9">
        <v>430</v>
      </c>
      <c r="C286" s="9">
        <v>581</v>
      </c>
      <c r="D286" s="9">
        <v>115</v>
      </c>
      <c r="E286" s="9">
        <v>1124</v>
      </c>
      <c r="F286" s="9">
        <v>827</v>
      </c>
      <c r="G286" s="9">
        <v>1147</v>
      </c>
      <c r="H286" s="9">
        <v>1738</v>
      </c>
      <c r="I286" s="9">
        <v>225</v>
      </c>
      <c r="J286" s="9">
        <v>2863</v>
      </c>
      <c r="K286" s="9">
        <v>968</v>
      </c>
      <c r="L286" s="9">
        <v>1327</v>
      </c>
      <c r="M286" s="9">
        <v>2566</v>
      </c>
      <c r="N286" s="9">
        <v>0</v>
      </c>
      <c r="O286" s="9">
        <v>8015</v>
      </c>
      <c r="P286" s="9">
        <v>2944</v>
      </c>
      <c r="Q286" s="9">
        <v>2448</v>
      </c>
      <c r="R286" s="9">
        <v>1270</v>
      </c>
      <c r="S286" s="9">
        <v>546</v>
      </c>
      <c r="T286" s="9">
        <v>2543</v>
      </c>
      <c r="U286" s="9">
        <v>2305</v>
      </c>
      <c r="V286" s="9">
        <f t="shared" si="43"/>
        <v>33982</v>
      </c>
    </row>
    <row r="287" spans="1:22" ht="18" customHeight="1">
      <c r="A287" s="13" t="s">
        <v>353</v>
      </c>
      <c r="B287" s="9">
        <v>556</v>
      </c>
      <c r="C287" s="9">
        <v>745</v>
      </c>
      <c r="D287" s="9">
        <v>146</v>
      </c>
      <c r="E287" s="9">
        <v>1555</v>
      </c>
      <c r="F287" s="9">
        <v>1147</v>
      </c>
      <c r="G287" s="9">
        <v>1722</v>
      </c>
      <c r="H287" s="9">
        <v>2630</v>
      </c>
      <c r="I287" s="9">
        <v>149</v>
      </c>
      <c r="J287" s="9">
        <v>3845</v>
      </c>
      <c r="K287" s="9">
        <v>1296</v>
      </c>
      <c r="L287" s="9">
        <v>2006</v>
      </c>
      <c r="M287" s="9">
        <v>3350</v>
      </c>
      <c r="N287" s="9">
        <v>0</v>
      </c>
      <c r="O287" s="9">
        <v>10448</v>
      </c>
      <c r="P287" s="9">
        <v>3455</v>
      </c>
      <c r="Q287" s="9">
        <v>2999</v>
      </c>
      <c r="R287" s="9">
        <v>1712</v>
      </c>
      <c r="S287" s="9">
        <v>789</v>
      </c>
      <c r="T287" s="9">
        <v>3054</v>
      </c>
      <c r="U287" s="9">
        <v>2990</v>
      </c>
      <c r="V287" s="9">
        <f t="shared" si="43"/>
        <v>44594</v>
      </c>
    </row>
    <row r="288" spans="1:22" ht="18" customHeight="1">
      <c r="A288" s="13" t="s">
        <v>354</v>
      </c>
      <c r="B288" s="9">
        <v>837</v>
      </c>
      <c r="C288" s="9">
        <v>1078</v>
      </c>
      <c r="D288" s="9">
        <v>186</v>
      </c>
      <c r="E288" s="9">
        <v>2224</v>
      </c>
      <c r="F288" s="9">
        <v>1524</v>
      </c>
      <c r="G288" s="9">
        <v>2585</v>
      </c>
      <c r="H288" s="9">
        <v>3794</v>
      </c>
      <c r="I288" s="9">
        <v>231</v>
      </c>
      <c r="J288" s="9">
        <v>4589</v>
      </c>
      <c r="K288" s="9">
        <v>1933</v>
      </c>
      <c r="L288" s="9">
        <v>2660</v>
      </c>
      <c r="M288" s="9">
        <v>4355</v>
      </c>
      <c r="N288" s="9">
        <v>0</v>
      </c>
      <c r="O288" s="9">
        <v>14949</v>
      </c>
      <c r="P288" s="9">
        <v>4401</v>
      </c>
      <c r="Q288" s="9">
        <v>4215</v>
      </c>
      <c r="R288" s="9">
        <v>2529</v>
      </c>
      <c r="S288" s="9">
        <v>1173</v>
      </c>
      <c r="T288" s="9">
        <v>3902</v>
      </c>
      <c r="U288" s="9">
        <v>3713</v>
      </c>
      <c r="V288" s="9">
        <f t="shared" si="43"/>
        <v>60878</v>
      </c>
    </row>
    <row r="289" spans="1:22" ht="18" customHeight="1">
      <c r="A289" s="15" t="s">
        <v>74</v>
      </c>
      <c r="B289" s="14">
        <f aca="true" t="shared" si="44" ref="B289:V289">SUM(B277:B288)</f>
        <v>6051</v>
      </c>
      <c r="C289" s="14">
        <f t="shared" si="44"/>
        <v>8992</v>
      </c>
      <c r="D289" s="14">
        <f t="shared" si="44"/>
        <v>1321</v>
      </c>
      <c r="E289" s="14">
        <f t="shared" si="44"/>
        <v>15898</v>
      </c>
      <c r="F289" s="14">
        <f t="shared" si="44"/>
        <v>11312</v>
      </c>
      <c r="G289" s="14">
        <f t="shared" si="44"/>
        <v>16502</v>
      </c>
      <c r="H289" s="14">
        <f t="shared" si="44"/>
        <v>27688</v>
      </c>
      <c r="I289" s="14">
        <f t="shared" si="44"/>
        <v>13819</v>
      </c>
      <c r="J289" s="14">
        <f t="shared" si="44"/>
        <v>34776</v>
      </c>
      <c r="K289" s="14">
        <f t="shared" si="44"/>
        <v>12829</v>
      </c>
      <c r="L289" s="14">
        <f t="shared" si="44"/>
        <v>19208</v>
      </c>
      <c r="M289" s="14">
        <f t="shared" si="44"/>
        <v>28776</v>
      </c>
      <c r="N289" s="14">
        <f t="shared" si="44"/>
        <v>0</v>
      </c>
      <c r="O289" s="14">
        <f t="shared" si="44"/>
        <v>63242</v>
      </c>
      <c r="P289" s="14">
        <f t="shared" si="44"/>
        <v>39473</v>
      </c>
      <c r="Q289" s="14">
        <f t="shared" si="44"/>
        <v>30079</v>
      </c>
      <c r="R289" s="14">
        <f t="shared" si="44"/>
        <v>18305</v>
      </c>
      <c r="S289" s="14">
        <f t="shared" si="44"/>
        <v>8502</v>
      </c>
      <c r="T289" s="14">
        <f t="shared" si="44"/>
        <v>34085</v>
      </c>
      <c r="U289" s="14">
        <f t="shared" si="44"/>
        <v>34225</v>
      </c>
      <c r="V289" s="14">
        <f t="shared" si="44"/>
        <v>425083</v>
      </c>
    </row>
    <row r="290" ht="18" customHeight="1"/>
    <row r="291" ht="18" customHeight="1"/>
    <row r="292" ht="18" customHeight="1"/>
    <row r="293" spans="1:22" ht="18" customHeight="1">
      <c r="A293" s="9" t="s">
        <v>18</v>
      </c>
      <c r="B293" s="9" t="s">
        <v>0</v>
      </c>
      <c r="C293" s="9" t="s">
        <v>1</v>
      </c>
      <c r="D293" s="9" t="s">
        <v>2</v>
      </c>
      <c r="E293" s="9" t="s">
        <v>3</v>
      </c>
      <c r="F293" s="9" t="s">
        <v>4</v>
      </c>
      <c r="G293" s="9" t="s">
        <v>5</v>
      </c>
      <c r="H293" s="9" t="s">
        <v>6</v>
      </c>
      <c r="I293" s="9" t="s">
        <v>7</v>
      </c>
      <c r="J293" s="9" t="s">
        <v>8</v>
      </c>
      <c r="K293" s="9" t="s">
        <v>9</v>
      </c>
      <c r="L293" s="9" t="s">
        <v>10</v>
      </c>
      <c r="M293" s="9" t="s">
        <v>11</v>
      </c>
      <c r="N293" s="9" t="s">
        <v>12</v>
      </c>
      <c r="O293" s="9" t="s">
        <v>13</v>
      </c>
      <c r="P293" s="9" t="s">
        <v>14</v>
      </c>
      <c r="Q293" s="9" t="s">
        <v>15</v>
      </c>
      <c r="R293" s="9" t="s">
        <v>16</v>
      </c>
      <c r="S293" s="9" t="s">
        <v>17</v>
      </c>
      <c r="T293" s="9" t="s">
        <v>217</v>
      </c>
      <c r="U293" s="9" t="s">
        <v>218</v>
      </c>
      <c r="V293" s="10" t="s">
        <v>68</v>
      </c>
    </row>
    <row r="294" spans="1:22" ht="18" customHeight="1">
      <c r="A294" s="13" t="s">
        <v>368</v>
      </c>
      <c r="B294" s="16">
        <v>847</v>
      </c>
      <c r="C294" s="2">
        <v>1117</v>
      </c>
      <c r="D294" s="9">
        <v>146</v>
      </c>
      <c r="E294" s="9">
        <v>1786</v>
      </c>
      <c r="F294" s="9">
        <v>1219</v>
      </c>
      <c r="G294" s="9">
        <v>2102</v>
      </c>
      <c r="H294" s="9">
        <v>3151</v>
      </c>
      <c r="I294" s="9">
        <v>231</v>
      </c>
      <c r="J294" s="9">
        <v>3372</v>
      </c>
      <c r="K294" s="9">
        <v>1565</v>
      </c>
      <c r="L294" s="9">
        <v>2291</v>
      </c>
      <c r="M294" s="9">
        <v>3395</v>
      </c>
      <c r="N294" s="9">
        <v>0</v>
      </c>
      <c r="O294" s="9">
        <v>11338</v>
      </c>
      <c r="P294" s="9">
        <v>3682</v>
      </c>
      <c r="Q294" s="9">
        <v>3438</v>
      </c>
      <c r="R294" s="9">
        <v>1968</v>
      </c>
      <c r="S294" s="9">
        <v>887</v>
      </c>
      <c r="T294" s="9">
        <v>3442</v>
      </c>
      <c r="U294" s="9">
        <v>2918</v>
      </c>
      <c r="V294" s="9">
        <f aca="true" t="shared" si="45" ref="V294:V305">SUM(B294:U294)</f>
        <v>48895</v>
      </c>
    </row>
    <row r="295" spans="1:22" ht="18" customHeight="1">
      <c r="A295" s="13" t="s">
        <v>369</v>
      </c>
      <c r="B295" s="16">
        <v>610</v>
      </c>
      <c r="C295" s="2">
        <v>836</v>
      </c>
      <c r="D295" s="9">
        <v>115</v>
      </c>
      <c r="E295" s="9">
        <v>1500</v>
      </c>
      <c r="F295" s="9">
        <v>989</v>
      </c>
      <c r="G295" s="9">
        <v>1790</v>
      </c>
      <c r="H295" s="9">
        <v>2368</v>
      </c>
      <c r="I295" s="9">
        <v>239</v>
      </c>
      <c r="J295" s="9">
        <v>2913</v>
      </c>
      <c r="K295" s="9">
        <v>1302</v>
      </c>
      <c r="L295" s="9">
        <v>1828</v>
      </c>
      <c r="M295" s="9">
        <v>2963</v>
      </c>
      <c r="N295" s="9">
        <v>0</v>
      </c>
      <c r="O295" s="9">
        <v>8159</v>
      </c>
      <c r="P295" s="9">
        <v>3646</v>
      </c>
      <c r="Q295" s="9">
        <v>3167</v>
      </c>
      <c r="R295" s="9">
        <v>1600</v>
      </c>
      <c r="S295" s="9">
        <v>664</v>
      </c>
      <c r="T295" s="9">
        <v>2883</v>
      </c>
      <c r="U295" s="9">
        <v>2789</v>
      </c>
      <c r="V295" s="9">
        <f t="shared" si="45"/>
        <v>40361</v>
      </c>
    </row>
    <row r="296" spans="1:22" ht="18" customHeight="1">
      <c r="A296" s="13" t="s">
        <v>370</v>
      </c>
      <c r="B296" s="16">
        <v>801</v>
      </c>
      <c r="C296" s="2">
        <v>1106</v>
      </c>
      <c r="D296" s="9">
        <v>194</v>
      </c>
      <c r="E296" s="9">
        <v>2154</v>
      </c>
      <c r="F296" s="9">
        <v>1524</v>
      </c>
      <c r="G296" s="9">
        <v>1034</v>
      </c>
      <c r="H296" s="9">
        <v>3565</v>
      </c>
      <c r="I296" s="9">
        <v>206</v>
      </c>
      <c r="J296" s="9">
        <v>4097</v>
      </c>
      <c r="K296" s="9">
        <v>1887</v>
      </c>
      <c r="L296" s="9">
        <v>2727</v>
      </c>
      <c r="M296" s="9">
        <v>4570</v>
      </c>
      <c r="N296" s="9">
        <v>0</v>
      </c>
      <c r="O296" s="9">
        <v>11478</v>
      </c>
      <c r="P296" s="9">
        <v>4862</v>
      </c>
      <c r="Q296" s="9">
        <v>4157</v>
      </c>
      <c r="R296" s="9">
        <v>2205</v>
      </c>
      <c r="S296" s="9">
        <v>1021</v>
      </c>
      <c r="T296" s="9">
        <v>3961</v>
      </c>
      <c r="U296" s="8">
        <v>3569</v>
      </c>
      <c r="V296" s="9">
        <f t="shared" si="45"/>
        <v>55118</v>
      </c>
    </row>
    <row r="297" spans="1:22" ht="18" customHeight="1">
      <c r="A297" s="13" t="s">
        <v>371</v>
      </c>
      <c r="B297" s="9">
        <v>623</v>
      </c>
      <c r="C297" s="92">
        <v>843</v>
      </c>
      <c r="D297" s="9">
        <v>152</v>
      </c>
      <c r="E297" s="9">
        <v>1610</v>
      </c>
      <c r="F297" s="9">
        <v>1129</v>
      </c>
      <c r="G297" s="9">
        <v>3571</v>
      </c>
      <c r="H297" s="9">
        <v>2795</v>
      </c>
      <c r="I297" s="9">
        <v>152</v>
      </c>
      <c r="J297" s="9">
        <v>2970</v>
      </c>
      <c r="K297" s="9">
        <v>1414</v>
      </c>
      <c r="L297" s="9">
        <v>1843</v>
      </c>
      <c r="M297" s="9">
        <v>3529</v>
      </c>
      <c r="N297" s="9">
        <v>0</v>
      </c>
      <c r="O297" s="9">
        <v>12930</v>
      </c>
      <c r="P297" s="9">
        <v>4253</v>
      </c>
      <c r="Q297" s="9">
        <v>3570</v>
      </c>
      <c r="R297" s="9">
        <v>1765</v>
      </c>
      <c r="S297" s="9">
        <v>827</v>
      </c>
      <c r="T297" s="9">
        <v>3110</v>
      </c>
      <c r="U297" s="9">
        <v>2843</v>
      </c>
      <c r="V297" s="9">
        <f t="shared" si="45"/>
        <v>49929</v>
      </c>
    </row>
    <row r="298" spans="1:22" ht="18" customHeight="1">
      <c r="A298" s="13" t="s">
        <v>372</v>
      </c>
      <c r="B298" s="9">
        <v>580</v>
      </c>
      <c r="C298" s="9">
        <v>733</v>
      </c>
      <c r="D298" s="9">
        <v>140</v>
      </c>
      <c r="E298" s="9">
        <v>1399</v>
      </c>
      <c r="F298" s="9">
        <v>1201</v>
      </c>
      <c r="G298" s="9">
        <v>2383</v>
      </c>
      <c r="H298" s="9">
        <v>2720</v>
      </c>
      <c r="I298" s="9">
        <v>200</v>
      </c>
      <c r="J298" s="9">
        <v>3288</v>
      </c>
      <c r="K298" s="9">
        <v>1306</v>
      </c>
      <c r="L298" s="9">
        <v>1792</v>
      </c>
      <c r="M298" s="9">
        <v>3300</v>
      </c>
      <c r="N298" s="9">
        <v>0</v>
      </c>
      <c r="O298" s="9">
        <v>5543</v>
      </c>
      <c r="P298" s="9">
        <v>3886</v>
      </c>
      <c r="Q298" s="9">
        <v>3204</v>
      </c>
      <c r="R298" s="9">
        <v>1437</v>
      </c>
      <c r="S298" s="9">
        <v>692</v>
      </c>
      <c r="T298" s="9">
        <v>2656</v>
      </c>
      <c r="U298" s="9">
        <v>2978</v>
      </c>
      <c r="V298" s="9">
        <f t="shared" si="45"/>
        <v>39438</v>
      </c>
    </row>
    <row r="299" spans="1:22" ht="18" customHeight="1">
      <c r="A299" s="13" t="s">
        <v>373</v>
      </c>
      <c r="B299" s="9">
        <v>377</v>
      </c>
      <c r="C299" s="9">
        <v>461</v>
      </c>
      <c r="D299" s="9">
        <v>98</v>
      </c>
      <c r="E299" s="9">
        <v>862</v>
      </c>
      <c r="F299" s="9">
        <v>711</v>
      </c>
      <c r="G299" s="9">
        <v>890</v>
      </c>
      <c r="H299" s="9">
        <v>1571</v>
      </c>
      <c r="I299" s="9">
        <v>117</v>
      </c>
      <c r="J299" s="9">
        <v>2125</v>
      </c>
      <c r="K299" s="9">
        <v>842</v>
      </c>
      <c r="L299" s="9">
        <v>1237</v>
      </c>
      <c r="M299" s="9">
        <v>2499</v>
      </c>
      <c r="N299" s="9">
        <v>0</v>
      </c>
      <c r="O299" s="9">
        <v>6173</v>
      </c>
      <c r="P299" s="9">
        <v>3045</v>
      </c>
      <c r="Q299" s="9">
        <v>2080</v>
      </c>
      <c r="R299" s="9">
        <v>975</v>
      </c>
      <c r="S299" s="9">
        <v>486</v>
      </c>
      <c r="T299" s="9">
        <v>2217</v>
      </c>
      <c r="U299" s="9">
        <v>1984</v>
      </c>
      <c r="V299" s="9">
        <f t="shared" si="45"/>
        <v>28750</v>
      </c>
    </row>
    <row r="300" spans="1:22" ht="18" customHeight="1">
      <c r="A300" s="13" t="s">
        <v>374</v>
      </c>
      <c r="B300" s="9">
        <v>282</v>
      </c>
      <c r="C300" s="9">
        <v>413</v>
      </c>
      <c r="D300" s="9">
        <v>43</v>
      </c>
      <c r="E300" s="9">
        <v>262</v>
      </c>
      <c r="F300" s="9">
        <v>180</v>
      </c>
      <c r="G300" s="9">
        <v>566</v>
      </c>
      <c r="H300" s="9">
        <v>678</v>
      </c>
      <c r="I300" s="9">
        <v>116</v>
      </c>
      <c r="J300" s="9">
        <v>1150</v>
      </c>
      <c r="K300" s="9">
        <v>396</v>
      </c>
      <c r="L300" s="9">
        <v>232</v>
      </c>
      <c r="M300" s="9">
        <v>819</v>
      </c>
      <c r="N300" s="9">
        <v>0</v>
      </c>
      <c r="O300" s="9">
        <v>3210</v>
      </c>
      <c r="P300" s="9">
        <v>2112</v>
      </c>
      <c r="Q300" s="9">
        <v>1336</v>
      </c>
      <c r="R300" s="9">
        <v>496</v>
      </c>
      <c r="S300" s="9">
        <v>300</v>
      </c>
      <c r="T300" s="9">
        <v>1483</v>
      </c>
      <c r="U300" s="9">
        <v>1335</v>
      </c>
      <c r="V300" s="9">
        <f t="shared" si="45"/>
        <v>15409</v>
      </c>
    </row>
    <row r="301" spans="1:22" ht="18" customHeight="1">
      <c r="A301" s="13" t="s">
        <v>375</v>
      </c>
      <c r="B301" s="9">
        <v>266</v>
      </c>
      <c r="C301" s="9">
        <v>379</v>
      </c>
      <c r="D301" s="9">
        <v>44</v>
      </c>
      <c r="E301" s="9">
        <v>286</v>
      </c>
      <c r="F301" s="9">
        <v>201</v>
      </c>
      <c r="G301" s="9">
        <v>517</v>
      </c>
      <c r="H301" s="9">
        <v>616</v>
      </c>
      <c r="I301" s="9">
        <v>118</v>
      </c>
      <c r="J301" s="9">
        <v>1089</v>
      </c>
      <c r="K301" s="9">
        <v>349</v>
      </c>
      <c r="L301" s="9">
        <v>196</v>
      </c>
      <c r="M301" s="9">
        <v>1017</v>
      </c>
      <c r="N301" s="9">
        <v>0</v>
      </c>
      <c r="O301" s="9">
        <v>3518</v>
      </c>
      <c r="P301" s="9">
        <v>1321</v>
      </c>
      <c r="Q301" s="9">
        <v>928</v>
      </c>
      <c r="R301" s="9">
        <v>414</v>
      </c>
      <c r="S301" s="9">
        <v>236</v>
      </c>
      <c r="T301" s="9">
        <v>1285</v>
      </c>
      <c r="U301" s="9">
        <v>1170</v>
      </c>
      <c r="V301" s="9">
        <f t="shared" si="45"/>
        <v>13950</v>
      </c>
    </row>
    <row r="302" spans="1:22" ht="18" customHeight="1">
      <c r="A302" s="13" t="s">
        <v>376</v>
      </c>
      <c r="B302" s="9">
        <v>227</v>
      </c>
      <c r="C302" s="9">
        <v>319</v>
      </c>
      <c r="D302" s="9">
        <v>76</v>
      </c>
      <c r="E302" s="9">
        <v>385</v>
      </c>
      <c r="F302" s="9">
        <v>408</v>
      </c>
      <c r="G302" s="9">
        <v>748</v>
      </c>
      <c r="H302" s="9">
        <v>877</v>
      </c>
      <c r="I302" s="9">
        <v>536</v>
      </c>
      <c r="J302" s="9">
        <v>1383</v>
      </c>
      <c r="K302" s="9">
        <v>423</v>
      </c>
      <c r="L302" s="9">
        <v>607</v>
      </c>
      <c r="M302" s="9">
        <v>1296</v>
      </c>
      <c r="N302" s="9">
        <v>0</v>
      </c>
      <c r="O302" s="9">
        <v>3773</v>
      </c>
      <c r="P302" s="9">
        <v>1584</v>
      </c>
      <c r="Q302" s="9">
        <v>1290</v>
      </c>
      <c r="R302" s="9">
        <v>643</v>
      </c>
      <c r="S302" s="9">
        <v>315</v>
      </c>
      <c r="T302" s="9">
        <v>1446</v>
      </c>
      <c r="U302" s="9">
        <v>1393</v>
      </c>
      <c r="V302" s="9">
        <f t="shared" si="45"/>
        <v>17729</v>
      </c>
    </row>
    <row r="303" spans="1:22" ht="18" customHeight="1">
      <c r="A303" s="13" t="s">
        <v>377</v>
      </c>
      <c r="B303" s="9">
        <v>433</v>
      </c>
      <c r="C303" s="9">
        <v>598</v>
      </c>
      <c r="D303" s="9">
        <v>140</v>
      </c>
      <c r="E303" s="9">
        <v>822</v>
      </c>
      <c r="F303" s="9">
        <v>778</v>
      </c>
      <c r="G303" s="9">
        <v>1311</v>
      </c>
      <c r="H303" s="9">
        <v>1940</v>
      </c>
      <c r="I303" s="9">
        <v>1217</v>
      </c>
      <c r="J303" s="9">
        <v>2484</v>
      </c>
      <c r="K303" s="9">
        <v>774</v>
      </c>
      <c r="L303" s="9">
        <v>1162</v>
      </c>
      <c r="M303" s="9">
        <v>2603</v>
      </c>
      <c r="N303" s="9">
        <v>0</v>
      </c>
      <c r="O303" s="9">
        <v>7796</v>
      </c>
      <c r="P303" s="9">
        <v>2769</v>
      </c>
      <c r="Q303" s="9">
        <v>2458</v>
      </c>
      <c r="R303" s="9">
        <v>1319</v>
      </c>
      <c r="S303" s="9">
        <v>582</v>
      </c>
      <c r="T303" s="9">
        <v>2695</v>
      </c>
      <c r="U303" s="9">
        <v>2635</v>
      </c>
      <c r="V303" s="9">
        <f t="shared" si="45"/>
        <v>34516</v>
      </c>
    </row>
    <row r="304" spans="1:22" ht="18" customHeight="1">
      <c r="A304" s="13" t="s">
        <v>378</v>
      </c>
      <c r="B304" s="9">
        <v>485</v>
      </c>
      <c r="C304" s="9">
        <v>661</v>
      </c>
      <c r="D304" s="9">
        <v>129</v>
      </c>
      <c r="E304" s="9">
        <v>1121</v>
      </c>
      <c r="F304" s="9">
        <v>807</v>
      </c>
      <c r="G304" s="9">
        <v>1544</v>
      </c>
      <c r="H304" s="9">
        <v>2278</v>
      </c>
      <c r="I304" s="9">
        <v>1370</v>
      </c>
      <c r="J304" s="9">
        <v>2661</v>
      </c>
      <c r="K304" s="9">
        <v>993</v>
      </c>
      <c r="L304" s="9">
        <v>1410</v>
      </c>
      <c r="M304" s="9">
        <v>2742</v>
      </c>
      <c r="N304" s="9">
        <v>0</v>
      </c>
      <c r="O304" s="9">
        <v>7008</v>
      </c>
      <c r="P304" s="9">
        <v>2996</v>
      </c>
      <c r="Q304" s="9">
        <v>2712</v>
      </c>
      <c r="R304" s="9">
        <v>1471</v>
      </c>
      <c r="S304" s="9">
        <v>641</v>
      </c>
      <c r="T304" s="9">
        <v>2840</v>
      </c>
      <c r="U304" s="9">
        <v>2843</v>
      </c>
      <c r="V304" s="9">
        <f t="shared" si="45"/>
        <v>36712</v>
      </c>
    </row>
    <row r="305" spans="1:22" ht="18" customHeight="1">
      <c r="A305" s="13" t="s">
        <v>379</v>
      </c>
      <c r="B305" s="9">
        <v>758</v>
      </c>
      <c r="C305" s="9">
        <v>1062</v>
      </c>
      <c r="D305" s="9">
        <v>202</v>
      </c>
      <c r="E305" s="9">
        <v>1675</v>
      </c>
      <c r="F305" s="9">
        <v>1308</v>
      </c>
      <c r="G305" s="9">
        <v>2493</v>
      </c>
      <c r="H305" s="9">
        <v>4156</v>
      </c>
      <c r="I305" s="9">
        <v>2299</v>
      </c>
      <c r="J305" s="9">
        <v>4605</v>
      </c>
      <c r="K305" s="9">
        <v>1539</v>
      </c>
      <c r="L305" s="9">
        <v>2657</v>
      </c>
      <c r="M305" s="9">
        <v>4135</v>
      </c>
      <c r="N305" s="9">
        <v>0</v>
      </c>
      <c r="O305" s="9">
        <v>9799</v>
      </c>
      <c r="P305" s="9">
        <v>4922</v>
      </c>
      <c r="Q305" s="9">
        <v>4702</v>
      </c>
      <c r="R305" s="9">
        <v>2463</v>
      </c>
      <c r="S305" s="9">
        <v>1173</v>
      </c>
      <c r="T305" s="9">
        <v>4284</v>
      </c>
      <c r="U305" s="9">
        <v>4386</v>
      </c>
      <c r="V305" s="9">
        <f t="shared" si="45"/>
        <v>58618</v>
      </c>
    </row>
    <row r="306" spans="1:22" ht="18" customHeight="1">
      <c r="A306" s="15" t="s">
        <v>74</v>
      </c>
      <c r="B306" s="14">
        <f aca="true" t="shared" si="46" ref="B306:V306">SUM(B294:B305)</f>
        <v>6289</v>
      </c>
      <c r="C306" s="14">
        <f t="shared" si="46"/>
        <v>8528</v>
      </c>
      <c r="D306" s="14">
        <f t="shared" si="46"/>
        <v>1479</v>
      </c>
      <c r="E306" s="14">
        <f t="shared" si="46"/>
        <v>13862</v>
      </c>
      <c r="F306" s="14">
        <f t="shared" si="46"/>
        <v>10455</v>
      </c>
      <c r="G306" s="14">
        <f t="shared" si="46"/>
        <v>18949</v>
      </c>
      <c r="H306" s="14">
        <f t="shared" si="46"/>
        <v>26715</v>
      </c>
      <c r="I306" s="14">
        <f t="shared" si="46"/>
        <v>6801</v>
      </c>
      <c r="J306" s="14">
        <f t="shared" si="46"/>
        <v>32137</v>
      </c>
      <c r="K306" s="14">
        <f t="shared" si="46"/>
        <v>12790</v>
      </c>
      <c r="L306" s="14">
        <f t="shared" si="46"/>
        <v>17982</v>
      </c>
      <c r="M306" s="14">
        <f t="shared" si="46"/>
        <v>32868</v>
      </c>
      <c r="N306" s="14">
        <f t="shared" si="46"/>
        <v>0</v>
      </c>
      <c r="O306" s="14">
        <f t="shared" si="46"/>
        <v>90725</v>
      </c>
      <c r="P306" s="14">
        <f t="shared" si="46"/>
        <v>39078</v>
      </c>
      <c r="Q306" s="14">
        <f t="shared" si="46"/>
        <v>33042</v>
      </c>
      <c r="R306" s="14">
        <f t="shared" si="46"/>
        <v>16756</v>
      </c>
      <c r="S306" s="14">
        <f t="shared" si="46"/>
        <v>7824</v>
      </c>
      <c r="T306" s="14">
        <f t="shared" si="46"/>
        <v>32302</v>
      </c>
      <c r="U306" s="14">
        <f t="shared" si="46"/>
        <v>30843</v>
      </c>
      <c r="V306" s="14">
        <f t="shared" si="46"/>
        <v>439425</v>
      </c>
    </row>
    <row r="307" ht="18" customHeight="1"/>
    <row r="308" ht="18" customHeight="1"/>
    <row r="309" spans="1:23" ht="18" customHeight="1">
      <c r="A309" s="9" t="s">
        <v>18</v>
      </c>
      <c r="B309" s="9" t="s">
        <v>0</v>
      </c>
      <c r="C309" s="9" t="s">
        <v>1</v>
      </c>
      <c r="D309" s="9" t="s">
        <v>2</v>
      </c>
      <c r="E309" s="9" t="s">
        <v>3</v>
      </c>
      <c r="F309" s="9" t="s">
        <v>4</v>
      </c>
      <c r="G309" s="9" t="s">
        <v>5</v>
      </c>
      <c r="H309" s="9" t="s">
        <v>6</v>
      </c>
      <c r="I309" s="9" t="s">
        <v>7</v>
      </c>
      <c r="J309" s="9" t="s">
        <v>8</v>
      </c>
      <c r="K309" s="9" t="s">
        <v>9</v>
      </c>
      <c r="L309" s="9" t="s">
        <v>10</v>
      </c>
      <c r="M309" s="9" t="s">
        <v>11</v>
      </c>
      <c r="N309" s="9" t="s">
        <v>12</v>
      </c>
      <c r="O309" s="9" t="s">
        <v>13</v>
      </c>
      <c r="P309" s="9" t="s">
        <v>14</v>
      </c>
      <c r="Q309" s="9" t="s">
        <v>15</v>
      </c>
      <c r="R309" s="9" t="s">
        <v>16</v>
      </c>
      <c r="S309" s="9" t="s">
        <v>17</v>
      </c>
      <c r="T309" s="9" t="s">
        <v>217</v>
      </c>
      <c r="U309" s="9" t="s">
        <v>218</v>
      </c>
      <c r="V309" s="10" t="s">
        <v>68</v>
      </c>
      <c r="W309" s="9" t="s">
        <v>405</v>
      </c>
    </row>
    <row r="310" spans="1:23" ht="18" customHeight="1">
      <c r="A310" s="13" t="s">
        <v>393</v>
      </c>
      <c r="B310" s="16">
        <v>820</v>
      </c>
      <c r="C310" s="2">
        <v>1123</v>
      </c>
      <c r="D310" s="9">
        <v>176</v>
      </c>
      <c r="E310" s="9">
        <v>1463</v>
      </c>
      <c r="F310" s="9">
        <v>1047</v>
      </c>
      <c r="G310" s="9">
        <v>2091</v>
      </c>
      <c r="H310" s="9">
        <v>2845</v>
      </c>
      <c r="I310" s="9">
        <v>1679</v>
      </c>
      <c r="J310" s="9">
        <v>3441</v>
      </c>
      <c r="K310" s="9">
        <v>1265</v>
      </c>
      <c r="L310" s="9">
        <v>2029</v>
      </c>
      <c r="M310" s="9">
        <v>3937</v>
      </c>
      <c r="N310" s="9">
        <v>0</v>
      </c>
      <c r="O310" s="9">
        <v>9132</v>
      </c>
      <c r="P310" s="9">
        <v>3743</v>
      </c>
      <c r="Q310" s="9">
        <v>3313</v>
      </c>
      <c r="R310" s="9">
        <v>1788</v>
      </c>
      <c r="S310" s="9">
        <v>890</v>
      </c>
      <c r="T310" s="9">
        <v>4047</v>
      </c>
      <c r="U310" s="9">
        <v>3883</v>
      </c>
      <c r="V310" s="9">
        <f aca="true" t="shared" si="47" ref="V310:V321">SUM(B310:U310)</f>
        <v>48712</v>
      </c>
      <c r="W310" s="98">
        <v>16.52</v>
      </c>
    </row>
    <row r="311" spans="1:23" ht="18" customHeight="1">
      <c r="A311" s="13" t="s">
        <v>394</v>
      </c>
      <c r="B311" s="16">
        <v>479</v>
      </c>
      <c r="C311" s="2">
        <v>683</v>
      </c>
      <c r="D311" s="9">
        <v>95</v>
      </c>
      <c r="E311" s="9">
        <v>845</v>
      </c>
      <c r="F311" s="9">
        <v>440</v>
      </c>
      <c r="G311" s="9">
        <v>945</v>
      </c>
      <c r="H311" s="9">
        <v>1469</v>
      </c>
      <c r="I311" s="9">
        <v>889</v>
      </c>
      <c r="J311" s="9">
        <v>1949</v>
      </c>
      <c r="K311" s="9">
        <v>681</v>
      </c>
      <c r="L311" s="9">
        <v>1017</v>
      </c>
      <c r="M311" s="9">
        <v>1849</v>
      </c>
      <c r="N311" s="9">
        <v>0</v>
      </c>
      <c r="O311" s="9">
        <v>4423</v>
      </c>
      <c r="P311" s="9">
        <v>2355</v>
      </c>
      <c r="Q311" s="9">
        <v>2013</v>
      </c>
      <c r="R311" s="9">
        <v>893</v>
      </c>
      <c r="S311" s="9">
        <v>393</v>
      </c>
      <c r="T311" s="9">
        <v>2223</v>
      </c>
      <c r="U311" s="9">
        <v>2031</v>
      </c>
      <c r="V311" s="9">
        <f t="shared" si="47"/>
        <v>25672</v>
      </c>
      <c r="W311" s="98" t="s">
        <v>406</v>
      </c>
    </row>
    <row r="312" spans="1:23" ht="18" customHeight="1">
      <c r="A312" s="13" t="s">
        <v>395</v>
      </c>
      <c r="B312" s="16">
        <v>713</v>
      </c>
      <c r="C312" s="2">
        <v>987</v>
      </c>
      <c r="D312" s="9">
        <v>165</v>
      </c>
      <c r="E312" s="9">
        <v>1496</v>
      </c>
      <c r="F312" s="9">
        <v>1266</v>
      </c>
      <c r="G312" s="9">
        <v>2287</v>
      </c>
      <c r="H312" s="9">
        <v>3532</v>
      </c>
      <c r="I312" s="9">
        <v>2033</v>
      </c>
      <c r="J312" s="9">
        <v>3611</v>
      </c>
      <c r="K312" s="9">
        <v>1429</v>
      </c>
      <c r="L312" s="9">
        <v>2501</v>
      </c>
      <c r="M312" s="9">
        <v>4075</v>
      </c>
      <c r="N312" s="9">
        <v>0</v>
      </c>
      <c r="O312" s="9">
        <v>9699</v>
      </c>
      <c r="P312" s="9">
        <v>4513</v>
      </c>
      <c r="Q312" s="9">
        <v>3433</v>
      </c>
      <c r="R312" s="9">
        <v>2064</v>
      </c>
      <c r="S312" s="9">
        <v>888</v>
      </c>
      <c r="T312" s="9">
        <v>3954</v>
      </c>
      <c r="U312" s="8">
        <v>3447</v>
      </c>
      <c r="V312" s="9">
        <f t="shared" si="47"/>
        <v>52093</v>
      </c>
      <c r="W312" s="98" t="s">
        <v>409</v>
      </c>
    </row>
    <row r="313" spans="1:23" ht="18" customHeight="1">
      <c r="A313" s="13" t="s">
        <v>396</v>
      </c>
      <c r="B313" s="9">
        <v>536</v>
      </c>
      <c r="C313" s="92">
        <v>764</v>
      </c>
      <c r="D313" s="9">
        <v>134</v>
      </c>
      <c r="E313" s="9">
        <v>1226</v>
      </c>
      <c r="F313" s="9">
        <v>920</v>
      </c>
      <c r="G313" s="9">
        <v>1733</v>
      </c>
      <c r="H313" s="9">
        <v>2674</v>
      </c>
      <c r="I313" s="9">
        <v>1635</v>
      </c>
      <c r="J313" s="9">
        <v>3002</v>
      </c>
      <c r="K313" s="9">
        <v>1112</v>
      </c>
      <c r="L313" s="9">
        <v>1865</v>
      </c>
      <c r="M313" s="9">
        <v>3453</v>
      </c>
      <c r="N313" s="9">
        <v>0</v>
      </c>
      <c r="O313" s="9">
        <v>7165</v>
      </c>
      <c r="P313" s="9">
        <v>3965</v>
      </c>
      <c r="Q313" s="9">
        <v>2656</v>
      </c>
      <c r="R313" s="9">
        <v>1583</v>
      </c>
      <c r="S313" s="9">
        <v>659</v>
      </c>
      <c r="T313" s="9">
        <v>2943</v>
      </c>
      <c r="U313" s="9">
        <v>3772</v>
      </c>
      <c r="V313" s="9">
        <f t="shared" si="47"/>
        <v>41797</v>
      </c>
      <c r="W313" s="98" t="s">
        <v>414</v>
      </c>
    </row>
    <row r="314" spans="1:23" ht="18" customHeight="1">
      <c r="A314" s="13" t="s">
        <v>397</v>
      </c>
      <c r="B314" s="9">
        <v>439</v>
      </c>
      <c r="C314" s="9">
        <v>645</v>
      </c>
      <c r="D314" s="9">
        <v>111</v>
      </c>
      <c r="E314" s="9">
        <v>1004</v>
      </c>
      <c r="F314" s="9">
        <v>834</v>
      </c>
      <c r="G314" s="9">
        <v>1537</v>
      </c>
      <c r="H314" s="9">
        <v>2258</v>
      </c>
      <c r="I314" s="9">
        <v>1467</v>
      </c>
      <c r="J314" s="9">
        <v>2595</v>
      </c>
      <c r="K314" s="9">
        <v>903</v>
      </c>
      <c r="L314" s="9">
        <v>1746</v>
      </c>
      <c r="M314" s="9">
        <v>3002</v>
      </c>
      <c r="N314" s="9">
        <v>0</v>
      </c>
      <c r="O314" s="9">
        <v>6172</v>
      </c>
      <c r="P314" s="9">
        <v>2895</v>
      </c>
      <c r="Q314" s="9">
        <v>2081</v>
      </c>
      <c r="R314" s="9">
        <v>1203</v>
      </c>
      <c r="S314" s="9">
        <v>493</v>
      </c>
      <c r="T314" s="9">
        <v>2617</v>
      </c>
      <c r="U314" s="9">
        <v>2826</v>
      </c>
      <c r="V314" s="9">
        <f t="shared" si="47"/>
        <v>34828</v>
      </c>
      <c r="W314" s="98" t="s">
        <v>415</v>
      </c>
    </row>
    <row r="315" spans="1:23" ht="18" customHeight="1">
      <c r="A315" s="13" t="s">
        <v>398</v>
      </c>
      <c r="B315" s="9">
        <v>292</v>
      </c>
      <c r="C315" s="9">
        <v>402</v>
      </c>
      <c r="D315" s="9">
        <v>90</v>
      </c>
      <c r="E315" s="9">
        <v>588</v>
      </c>
      <c r="F315" s="9">
        <v>542</v>
      </c>
      <c r="G315" s="9">
        <v>1077</v>
      </c>
      <c r="H315" s="9">
        <v>1525</v>
      </c>
      <c r="I315" s="9">
        <v>990</v>
      </c>
      <c r="J315" s="9">
        <v>1750</v>
      </c>
      <c r="K315" s="9">
        <v>588</v>
      </c>
      <c r="L315" s="9">
        <v>1140</v>
      </c>
      <c r="M315" s="9">
        <v>2112</v>
      </c>
      <c r="N315" s="9">
        <v>0</v>
      </c>
      <c r="O315" s="9">
        <v>4763</v>
      </c>
      <c r="P315" s="9">
        <v>2443</v>
      </c>
      <c r="Q315" s="9">
        <v>1516</v>
      </c>
      <c r="R315" s="9">
        <v>952</v>
      </c>
      <c r="S315" s="9">
        <v>358</v>
      </c>
      <c r="T315" s="9">
        <v>1900</v>
      </c>
      <c r="U315" s="9">
        <v>1976</v>
      </c>
      <c r="V315" s="9">
        <f t="shared" si="47"/>
        <v>25004</v>
      </c>
      <c r="W315" s="98" t="s">
        <v>417</v>
      </c>
    </row>
    <row r="316" spans="1:23" ht="18" customHeight="1">
      <c r="A316" s="13" t="s">
        <v>399</v>
      </c>
      <c r="B316" s="9">
        <v>293</v>
      </c>
      <c r="C316" s="9">
        <v>361</v>
      </c>
      <c r="D316" s="9">
        <v>85</v>
      </c>
      <c r="E316" s="9">
        <v>74</v>
      </c>
      <c r="F316" s="9">
        <v>59</v>
      </c>
      <c r="G316" s="9">
        <v>193</v>
      </c>
      <c r="H316" s="9">
        <v>751</v>
      </c>
      <c r="I316" s="9">
        <v>12</v>
      </c>
      <c r="J316" s="9">
        <v>1216</v>
      </c>
      <c r="K316" s="9">
        <v>409</v>
      </c>
      <c r="L316" s="9">
        <v>18</v>
      </c>
      <c r="M316" s="9">
        <v>1146</v>
      </c>
      <c r="N316" s="9">
        <v>0</v>
      </c>
      <c r="O316" s="9">
        <v>3066</v>
      </c>
      <c r="P316" s="9">
        <v>1623</v>
      </c>
      <c r="Q316" s="9">
        <v>1198</v>
      </c>
      <c r="R316" s="9">
        <v>525</v>
      </c>
      <c r="S316" s="9">
        <v>261</v>
      </c>
      <c r="T316" s="9">
        <v>1468</v>
      </c>
      <c r="U316" s="9">
        <v>970</v>
      </c>
      <c r="V316" s="9">
        <f t="shared" si="47"/>
        <v>13728</v>
      </c>
      <c r="W316" s="98" t="s">
        <v>419</v>
      </c>
    </row>
    <row r="317" spans="1:23" ht="18" customHeight="1">
      <c r="A317" s="13" t="s">
        <v>400</v>
      </c>
      <c r="B317" s="9">
        <v>252</v>
      </c>
      <c r="C317" s="9">
        <v>312</v>
      </c>
      <c r="D317" s="9">
        <v>71</v>
      </c>
      <c r="E317" s="9">
        <v>13</v>
      </c>
      <c r="F317" s="9">
        <v>98</v>
      </c>
      <c r="G317" s="9">
        <v>219</v>
      </c>
      <c r="H317" s="9">
        <v>668</v>
      </c>
      <c r="I317" s="9">
        <v>10</v>
      </c>
      <c r="J317" s="9">
        <v>1254</v>
      </c>
      <c r="K317" s="9">
        <v>322</v>
      </c>
      <c r="L317" s="9">
        <v>56</v>
      </c>
      <c r="M317" s="9">
        <v>1075</v>
      </c>
      <c r="N317" s="9">
        <v>0</v>
      </c>
      <c r="O317" s="9">
        <v>1760</v>
      </c>
      <c r="P317" s="9">
        <v>1263</v>
      </c>
      <c r="Q317" s="9">
        <v>989</v>
      </c>
      <c r="R317" s="9">
        <v>352</v>
      </c>
      <c r="S317" s="9">
        <v>209</v>
      </c>
      <c r="T317" s="9">
        <v>1241</v>
      </c>
      <c r="U317" s="9">
        <v>941</v>
      </c>
      <c r="V317" s="9">
        <f t="shared" si="47"/>
        <v>11105</v>
      </c>
      <c r="W317" s="98" t="s">
        <v>422</v>
      </c>
    </row>
    <row r="318" spans="1:23" ht="18" customHeight="1">
      <c r="A318" s="13" t="s">
        <v>401</v>
      </c>
      <c r="B318" s="9">
        <v>302</v>
      </c>
      <c r="C318" s="9">
        <v>351</v>
      </c>
      <c r="D318" s="9">
        <v>81</v>
      </c>
      <c r="E318" s="9">
        <v>496</v>
      </c>
      <c r="F318" s="9">
        <v>413</v>
      </c>
      <c r="G318" s="9">
        <v>791</v>
      </c>
      <c r="H318" s="9">
        <v>1182</v>
      </c>
      <c r="I318" s="9">
        <v>669</v>
      </c>
      <c r="J318" s="9">
        <v>1542</v>
      </c>
      <c r="K318" s="9">
        <v>426</v>
      </c>
      <c r="L318" s="9">
        <v>906</v>
      </c>
      <c r="M318" s="9">
        <v>1882</v>
      </c>
      <c r="N318" s="9">
        <v>0</v>
      </c>
      <c r="O318" s="9">
        <v>2738</v>
      </c>
      <c r="P318" s="9">
        <v>1725</v>
      </c>
      <c r="Q318" s="9">
        <v>1584</v>
      </c>
      <c r="R318" s="9">
        <v>681</v>
      </c>
      <c r="S318" s="9">
        <v>256</v>
      </c>
      <c r="T318" s="9">
        <v>1851</v>
      </c>
      <c r="U318" s="9">
        <v>1596</v>
      </c>
      <c r="V318" s="9">
        <f t="shared" si="47"/>
        <v>19472</v>
      </c>
      <c r="W318" s="98" t="s">
        <v>423</v>
      </c>
    </row>
    <row r="319" spans="1:23" ht="18" customHeight="1">
      <c r="A319" s="13" t="s">
        <v>402</v>
      </c>
      <c r="B319" s="9">
        <v>418</v>
      </c>
      <c r="C319" s="9">
        <v>475</v>
      </c>
      <c r="D319" s="9">
        <v>111</v>
      </c>
      <c r="E319" s="9">
        <v>752</v>
      </c>
      <c r="F319" s="9">
        <v>625</v>
      </c>
      <c r="G319" s="9">
        <v>1173</v>
      </c>
      <c r="H319" s="9">
        <v>1719</v>
      </c>
      <c r="I319" s="9">
        <v>1070</v>
      </c>
      <c r="J319" s="9">
        <v>2165</v>
      </c>
      <c r="K319" s="9">
        <v>654</v>
      </c>
      <c r="L319" s="9">
        <v>1371</v>
      </c>
      <c r="M319" s="9">
        <v>2558</v>
      </c>
      <c r="N319" s="9">
        <v>0</v>
      </c>
      <c r="O319" s="9">
        <v>3856</v>
      </c>
      <c r="P319" s="9">
        <v>2803</v>
      </c>
      <c r="Q319" s="9">
        <v>2375</v>
      </c>
      <c r="R319" s="9">
        <v>1166</v>
      </c>
      <c r="S319" s="9">
        <v>529</v>
      </c>
      <c r="T319" s="9">
        <v>2605</v>
      </c>
      <c r="U319" s="9">
        <v>2447</v>
      </c>
      <c r="V319" s="9">
        <f t="shared" si="47"/>
        <v>28872</v>
      </c>
      <c r="W319" s="98" t="s">
        <v>425</v>
      </c>
    </row>
    <row r="320" spans="1:23" ht="18" customHeight="1">
      <c r="A320" s="13" t="s">
        <v>403</v>
      </c>
      <c r="B320" s="9">
        <v>457</v>
      </c>
      <c r="C320" s="9">
        <v>517</v>
      </c>
      <c r="D320" s="9">
        <v>125</v>
      </c>
      <c r="E320" s="9">
        <v>942</v>
      </c>
      <c r="F320" s="9">
        <v>799</v>
      </c>
      <c r="G320" s="9">
        <v>1342</v>
      </c>
      <c r="H320" s="9">
        <v>2145</v>
      </c>
      <c r="I320" s="9">
        <v>1332</v>
      </c>
      <c r="J320" s="9">
        <v>2246</v>
      </c>
      <c r="K320" s="9">
        <v>734</v>
      </c>
      <c r="L320" s="9">
        <v>1575</v>
      </c>
      <c r="M320" s="9">
        <v>3004</v>
      </c>
      <c r="N320" s="9">
        <v>0</v>
      </c>
      <c r="O320" s="9">
        <v>4140</v>
      </c>
      <c r="P320" s="9">
        <v>3482</v>
      </c>
      <c r="Q320" s="9">
        <v>2366</v>
      </c>
      <c r="R320" s="9">
        <v>1248</v>
      </c>
      <c r="S320" s="9">
        <v>564</v>
      </c>
      <c r="T320" s="9">
        <v>2967</v>
      </c>
      <c r="U320" s="9">
        <v>3078</v>
      </c>
      <c r="V320" s="9">
        <f t="shared" si="47"/>
        <v>33063</v>
      </c>
      <c r="W320" s="98" t="s">
        <v>427</v>
      </c>
    </row>
    <row r="321" spans="1:23" ht="18" customHeight="1">
      <c r="A321" s="13" t="s">
        <v>404</v>
      </c>
      <c r="B321" s="9">
        <v>641</v>
      </c>
      <c r="C321" s="9">
        <v>858</v>
      </c>
      <c r="D321" s="9">
        <v>168</v>
      </c>
      <c r="E321" s="9">
        <v>1420</v>
      </c>
      <c r="F321" s="9">
        <v>1255</v>
      </c>
      <c r="G321" s="9">
        <v>2079</v>
      </c>
      <c r="H321" s="9">
        <v>3468</v>
      </c>
      <c r="I321" s="9">
        <v>2213</v>
      </c>
      <c r="J321" s="9">
        <v>3491</v>
      </c>
      <c r="K321" s="9">
        <v>1153</v>
      </c>
      <c r="L321" s="9">
        <v>2395</v>
      </c>
      <c r="M321" s="9">
        <v>4416</v>
      </c>
      <c r="N321" s="9">
        <v>0</v>
      </c>
      <c r="O321" s="9">
        <v>6349</v>
      </c>
      <c r="P321" s="9">
        <v>5394</v>
      </c>
      <c r="Q321" s="9">
        <v>3738</v>
      </c>
      <c r="R321" s="9">
        <v>1989</v>
      </c>
      <c r="S321" s="9">
        <v>907</v>
      </c>
      <c r="T321" s="9">
        <v>4021</v>
      </c>
      <c r="U321" s="9">
        <v>4119</v>
      </c>
      <c r="V321" s="9">
        <f t="shared" si="47"/>
        <v>50074</v>
      </c>
      <c r="W321" s="98" t="s">
        <v>429</v>
      </c>
    </row>
    <row r="322" spans="1:23" ht="18" customHeight="1">
      <c r="A322" s="15" t="s">
        <v>74</v>
      </c>
      <c r="B322" s="14">
        <f aca="true" t="shared" si="48" ref="B322:V322">SUM(B310:B321)</f>
        <v>5642</v>
      </c>
      <c r="C322" s="14">
        <f t="shared" si="48"/>
        <v>7478</v>
      </c>
      <c r="D322" s="14">
        <f t="shared" si="48"/>
        <v>1412</v>
      </c>
      <c r="E322" s="14">
        <f t="shared" si="48"/>
        <v>10319</v>
      </c>
      <c r="F322" s="14">
        <f t="shared" si="48"/>
        <v>8298</v>
      </c>
      <c r="G322" s="14">
        <f t="shared" si="48"/>
        <v>15467</v>
      </c>
      <c r="H322" s="14">
        <f t="shared" si="48"/>
        <v>24236</v>
      </c>
      <c r="I322" s="14">
        <f t="shared" si="48"/>
        <v>13999</v>
      </c>
      <c r="J322" s="14">
        <f t="shared" si="48"/>
        <v>28262</v>
      </c>
      <c r="K322" s="14">
        <f t="shared" si="48"/>
        <v>9676</v>
      </c>
      <c r="L322" s="14">
        <f t="shared" si="48"/>
        <v>16619</v>
      </c>
      <c r="M322" s="14">
        <f t="shared" si="48"/>
        <v>32509</v>
      </c>
      <c r="N322" s="14">
        <f t="shared" si="48"/>
        <v>0</v>
      </c>
      <c r="O322" s="14">
        <f t="shared" si="48"/>
        <v>63263</v>
      </c>
      <c r="P322" s="14">
        <f t="shared" si="48"/>
        <v>36204</v>
      </c>
      <c r="Q322" s="14">
        <f t="shared" si="48"/>
        <v>27262</v>
      </c>
      <c r="R322" s="14">
        <f t="shared" si="48"/>
        <v>14444</v>
      </c>
      <c r="S322" s="14">
        <f t="shared" si="48"/>
        <v>6407</v>
      </c>
      <c r="T322" s="14">
        <f t="shared" si="48"/>
        <v>31837</v>
      </c>
      <c r="U322" s="14">
        <f t="shared" si="48"/>
        <v>31086</v>
      </c>
      <c r="V322" s="14">
        <f t="shared" si="48"/>
        <v>384420</v>
      </c>
      <c r="W322" s="98"/>
    </row>
    <row r="323" ht="18" customHeight="1"/>
    <row r="324" ht="18" customHeight="1"/>
    <row r="325" spans="1:23" ht="18" customHeight="1">
      <c r="A325" s="9" t="s">
        <v>18</v>
      </c>
      <c r="B325" s="9" t="s">
        <v>0</v>
      </c>
      <c r="C325" s="9" t="s">
        <v>1</v>
      </c>
      <c r="D325" s="9" t="s">
        <v>2</v>
      </c>
      <c r="E325" s="9" t="s">
        <v>3</v>
      </c>
      <c r="F325" s="9" t="s">
        <v>4</v>
      </c>
      <c r="G325" s="9" t="s">
        <v>5</v>
      </c>
      <c r="H325" s="9" t="s">
        <v>6</v>
      </c>
      <c r="I325" s="9" t="s">
        <v>7</v>
      </c>
      <c r="J325" s="9" t="s">
        <v>8</v>
      </c>
      <c r="K325" s="9" t="s">
        <v>9</v>
      </c>
      <c r="L325" s="9" t="s">
        <v>10</v>
      </c>
      <c r="M325" s="9" t="s">
        <v>11</v>
      </c>
      <c r="N325" s="9" t="s">
        <v>12</v>
      </c>
      <c r="O325" s="9" t="s">
        <v>13</v>
      </c>
      <c r="P325" s="9" t="s">
        <v>14</v>
      </c>
      <c r="Q325" s="9" t="s">
        <v>15</v>
      </c>
      <c r="R325" s="9" t="s">
        <v>16</v>
      </c>
      <c r="S325" s="9" t="s">
        <v>17</v>
      </c>
      <c r="T325" s="9" t="s">
        <v>217</v>
      </c>
      <c r="U325" s="9" t="s">
        <v>218</v>
      </c>
      <c r="V325" s="10" t="s">
        <v>68</v>
      </c>
      <c r="W325" s="9" t="s">
        <v>405</v>
      </c>
    </row>
    <row r="326" spans="1:23" ht="18" customHeight="1">
      <c r="A326" s="13" t="s">
        <v>430</v>
      </c>
      <c r="B326" s="16">
        <v>805</v>
      </c>
      <c r="C326" s="2">
        <v>749</v>
      </c>
      <c r="D326" s="9">
        <v>164</v>
      </c>
      <c r="E326" s="9">
        <v>1428</v>
      </c>
      <c r="F326" s="9">
        <v>817</v>
      </c>
      <c r="G326" s="9">
        <v>1641</v>
      </c>
      <c r="H326" s="9">
        <v>2747</v>
      </c>
      <c r="I326" s="9">
        <v>1678</v>
      </c>
      <c r="J326" s="9">
        <v>2952</v>
      </c>
      <c r="K326" s="9">
        <v>962</v>
      </c>
      <c r="L326" s="9">
        <v>2058</v>
      </c>
      <c r="M326" s="9">
        <v>3114</v>
      </c>
      <c r="N326" s="9">
        <v>0</v>
      </c>
      <c r="O326" s="9">
        <v>5558</v>
      </c>
      <c r="P326" s="9">
        <v>4443</v>
      </c>
      <c r="Q326" s="9">
        <v>3082</v>
      </c>
      <c r="R326" s="9">
        <v>1411</v>
      </c>
      <c r="S326" s="9">
        <v>687</v>
      </c>
      <c r="T326" s="9">
        <v>4238</v>
      </c>
      <c r="U326" s="9">
        <v>3109</v>
      </c>
      <c r="V326" s="9">
        <f aca="true" t="shared" si="49" ref="V326:V335">SUM(B326:U326)</f>
        <v>41643</v>
      </c>
      <c r="W326" s="98" t="s">
        <v>427</v>
      </c>
    </row>
    <row r="327" spans="1:23" ht="18" customHeight="1">
      <c r="A327" s="13" t="s">
        <v>431</v>
      </c>
      <c r="B327" s="16">
        <v>576</v>
      </c>
      <c r="C327" s="2">
        <v>596</v>
      </c>
      <c r="D327" s="9">
        <v>157</v>
      </c>
      <c r="E327" s="9">
        <v>1142</v>
      </c>
      <c r="F327" s="9">
        <v>837</v>
      </c>
      <c r="G327" s="9">
        <v>1498</v>
      </c>
      <c r="H327" s="9">
        <v>2515</v>
      </c>
      <c r="I327" s="9">
        <v>1522</v>
      </c>
      <c r="J327" s="9">
        <v>2564</v>
      </c>
      <c r="K327" s="9">
        <v>761</v>
      </c>
      <c r="L327" s="9">
        <v>1715</v>
      </c>
      <c r="M327" s="9">
        <v>2835</v>
      </c>
      <c r="N327" s="9">
        <v>0</v>
      </c>
      <c r="O327" s="9">
        <v>5323</v>
      </c>
      <c r="P327" s="9">
        <v>3512</v>
      </c>
      <c r="Q327" s="9">
        <v>2891</v>
      </c>
      <c r="R327" s="9">
        <v>1336</v>
      </c>
      <c r="S327" s="9">
        <v>639</v>
      </c>
      <c r="T327" s="9">
        <v>2732</v>
      </c>
      <c r="U327" s="9">
        <v>2596</v>
      </c>
      <c r="V327" s="9">
        <f t="shared" si="49"/>
        <v>35747</v>
      </c>
      <c r="W327" s="98" t="s">
        <v>456</v>
      </c>
    </row>
    <row r="328" spans="1:23" ht="18" customHeight="1">
      <c r="A328" s="13" t="s">
        <v>432</v>
      </c>
      <c r="B328" s="16">
        <v>892</v>
      </c>
      <c r="C328" s="2">
        <v>1005</v>
      </c>
      <c r="D328" s="9">
        <v>211</v>
      </c>
      <c r="E328" s="9">
        <v>1866</v>
      </c>
      <c r="F328" s="9">
        <v>1473</v>
      </c>
      <c r="G328" s="9">
        <v>2770</v>
      </c>
      <c r="H328" s="9">
        <v>4102</v>
      </c>
      <c r="I328" s="9">
        <v>2906</v>
      </c>
      <c r="J328" s="9">
        <v>4106</v>
      </c>
      <c r="K328" s="9">
        <v>1410</v>
      </c>
      <c r="L328" s="9">
        <v>3093</v>
      </c>
      <c r="M328" s="9">
        <v>5350</v>
      </c>
      <c r="N328" s="9">
        <v>0</v>
      </c>
      <c r="O328" s="9">
        <v>8187</v>
      </c>
      <c r="P328" s="9">
        <v>5647</v>
      </c>
      <c r="Q328" s="9">
        <v>4745</v>
      </c>
      <c r="R328" s="9">
        <v>2253</v>
      </c>
      <c r="S328" s="9">
        <v>1079</v>
      </c>
      <c r="T328" s="9">
        <v>4926</v>
      </c>
      <c r="U328" s="8">
        <v>4453</v>
      </c>
      <c r="V328" s="9">
        <f t="shared" si="49"/>
        <v>60474</v>
      </c>
      <c r="W328" s="98" t="s">
        <v>458</v>
      </c>
    </row>
    <row r="329" spans="1:23" ht="18" customHeight="1">
      <c r="A329" s="13" t="s">
        <v>433</v>
      </c>
      <c r="B329" s="9">
        <v>636</v>
      </c>
      <c r="C329" s="92">
        <v>722</v>
      </c>
      <c r="D329" s="9">
        <v>145</v>
      </c>
      <c r="E329" s="9">
        <v>1153</v>
      </c>
      <c r="F329" s="9">
        <v>954</v>
      </c>
      <c r="G329" s="9">
        <v>2077</v>
      </c>
      <c r="H329" s="9">
        <v>2944</v>
      </c>
      <c r="I329" s="9">
        <v>1884</v>
      </c>
      <c r="J329" s="9">
        <v>2848</v>
      </c>
      <c r="K329" s="9">
        <v>987</v>
      </c>
      <c r="L329" s="9">
        <v>2229</v>
      </c>
      <c r="M329" s="9">
        <v>3806</v>
      </c>
      <c r="N329" s="9">
        <v>0</v>
      </c>
      <c r="O329" s="9">
        <v>6220</v>
      </c>
      <c r="P329" s="9">
        <v>4345</v>
      </c>
      <c r="Q329" s="9">
        <v>3432</v>
      </c>
      <c r="R329" s="9">
        <v>1521</v>
      </c>
      <c r="S329" s="9">
        <v>760</v>
      </c>
      <c r="T329" s="9">
        <v>3178</v>
      </c>
      <c r="U329" s="9">
        <v>3016</v>
      </c>
      <c r="V329" s="9">
        <f t="shared" si="49"/>
        <v>42857</v>
      </c>
      <c r="W329" s="98" t="s">
        <v>459</v>
      </c>
    </row>
    <row r="330" spans="1:23" ht="18" customHeight="1">
      <c r="A330" s="13" t="s">
        <v>434</v>
      </c>
      <c r="B330" s="9">
        <v>496</v>
      </c>
      <c r="C330" s="9">
        <v>562</v>
      </c>
      <c r="D330" s="9">
        <v>132</v>
      </c>
      <c r="E330" s="9">
        <v>995</v>
      </c>
      <c r="F330" s="9">
        <v>749</v>
      </c>
      <c r="G330" s="9">
        <v>1621</v>
      </c>
      <c r="H330" s="9">
        <v>2216</v>
      </c>
      <c r="I330" s="9">
        <v>1658</v>
      </c>
      <c r="J330" s="9">
        <v>2263</v>
      </c>
      <c r="K330" s="9">
        <v>710</v>
      </c>
      <c r="L330" s="9">
        <v>1683</v>
      </c>
      <c r="M330" s="9">
        <v>3677</v>
      </c>
      <c r="N330" s="9">
        <v>0</v>
      </c>
      <c r="O330" s="9">
        <v>4795</v>
      </c>
      <c r="P330" s="9">
        <v>3765</v>
      </c>
      <c r="Q330" s="9">
        <v>2441</v>
      </c>
      <c r="R330" s="9">
        <v>1220</v>
      </c>
      <c r="S330" s="9">
        <v>617</v>
      </c>
      <c r="T330" s="9">
        <v>3243</v>
      </c>
      <c r="U330" s="9">
        <v>2813</v>
      </c>
      <c r="V330" s="9">
        <f t="shared" si="49"/>
        <v>35656</v>
      </c>
      <c r="W330" s="98" t="s">
        <v>462</v>
      </c>
    </row>
    <row r="331" spans="1:23" ht="18" customHeight="1">
      <c r="A331" s="13" t="s">
        <v>435</v>
      </c>
      <c r="B331" s="9">
        <v>301</v>
      </c>
      <c r="C331" s="9">
        <v>353</v>
      </c>
      <c r="D331" s="9">
        <v>75</v>
      </c>
      <c r="E331" s="9">
        <v>571</v>
      </c>
      <c r="F331" s="9">
        <v>479</v>
      </c>
      <c r="G331" s="9">
        <v>963</v>
      </c>
      <c r="H331" s="9">
        <v>1375</v>
      </c>
      <c r="I331" s="9">
        <v>891</v>
      </c>
      <c r="J331" s="9">
        <v>1531</v>
      </c>
      <c r="K331" s="9">
        <v>474</v>
      </c>
      <c r="L331" s="9">
        <v>995</v>
      </c>
      <c r="M331" s="9">
        <v>2351</v>
      </c>
      <c r="N331" s="9">
        <v>0</v>
      </c>
      <c r="O331" s="9">
        <v>3556</v>
      </c>
      <c r="P331" s="9">
        <v>2400</v>
      </c>
      <c r="Q331" s="9">
        <v>1645</v>
      </c>
      <c r="R331" s="9">
        <v>705</v>
      </c>
      <c r="S331" s="9">
        <v>350</v>
      </c>
      <c r="T331" s="9">
        <v>2183</v>
      </c>
      <c r="U331" s="9">
        <v>1813</v>
      </c>
      <c r="V331" s="9">
        <f t="shared" si="49"/>
        <v>23011</v>
      </c>
      <c r="W331" s="98" t="s">
        <v>463</v>
      </c>
    </row>
    <row r="332" spans="1:23" ht="18" customHeight="1">
      <c r="A332" s="13" t="s">
        <v>436</v>
      </c>
      <c r="B332" s="9">
        <v>252</v>
      </c>
      <c r="C332" s="9">
        <v>356</v>
      </c>
      <c r="D332" s="9">
        <v>54</v>
      </c>
      <c r="E332" s="9">
        <v>1</v>
      </c>
      <c r="F332" s="9">
        <v>97</v>
      </c>
      <c r="G332" s="9">
        <v>266</v>
      </c>
      <c r="H332" s="9">
        <v>667</v>
      </c>
      <c r="I332" s="9">
        <v>2</v>
      </c>
      <c r="J332" s="9">
        <v>1066</v>
      </c>
      <c r="K332" s="9">
        <v>305</v>
      </c>
      <c r="L332" s="9">
        <v>54</v>
      </c>
      <c r="M332" s="9">
        <v>1550</v>
      </c>
      <c r="N332" s="9"/>
      <c r="O332" s="9">
        <v>1189</v>
      </c>
      <c r="P332" s="9">
        <v>20</v>
      </c>
      <c r="Q332" s="9">
        <v>1273</v>
      </c>
      <c r="R332" s="9">
        <v>622</v>
      </c>
      <c r="S332" s="9">
        <v>290</v>
      </c>
      <c r="T332" s="9">
        <v>1481</v>
      </c>
      <c r="U332" s="9">
        <v>955</v>
      </c>
      <c r="V332" s="9">
        <f t="shared" si="49"/>
        <v>10500</v>
      </c>
      <c r="W332" s="98" t="s">
        <v>464</v>
      </c>
    </row>
    <row r="333" spans="1:23" ht="18" customHeight="1">
      <c r="A333" s="13" t="s">
        <v>437</v>
      </c>
      <c r="B333" s="9">
        <v>253</v>
      </c>
      <c r="C333" s="9">
        <v>27</v>
      </c>
      <c r="D333" s="9">
        <v>58</v>
      </c>
      <c r="E333" s="9">
        <v>19</v>
      </c>
      <c r="F333" s="9">
        <v>47</v>
      </c>
      <c r="G333" s="9">
        <v>166</v>
      </c>
      <c r="H333" s="9">
        <v>619</v>
      </c>
      <c r="I333" s="9">
        <v>13</v>
      </c>
      <c r="J333" s="9">
        <v>811</v>
      </c>
      <c r="K333" s="9">
        <v>299</v>
      </c>
      <c r="L333" s="9">
        <v>68</v>
      </c>
      <c r="M333" s="9">
        <v>1117</v>
      </c>
      <c r="N333" s="9">
        <v>0</v>
      </c>
      <c r="O333" s="9">
        <v>2153</v>
      </c>
      <c r="P333" s="9">
        <v>192</v>
      </c>
      <c r="Q333" s="9">
        <v>1122</v>
      </c>
      <c r="R333" s="9">
        <v>538</v>
      </c>
      <c r="S333" s="9">
        <v>157</v>
      </c>
      <c r="T333" s="9">
        <v>1304</v>
      </c>
      <c r="U333" s="9">
        <v>877</v>
      </c>
      <c r="V333" s="9">
        <f t="shared" si="49"/>
        <v>9840</v>
      </c>
      <c r="W333" s="98" t="s">
        <v>467</v>
      </c>
    </row>
    <row r="334" spans="1:23" ht="18" customHeight="1">
      <c r="A334" s="13" t="s">
        <v>438</v>
      </c>
      <c r="B334" s="9">
        <v>329</v>
      </c>
      <c r="C334" s="9">
        <v>716</v>
      </c>
      <c r="D334" s="9">
        <v>75</v>
      </c>
      <c r="E334" s="9">
        <v>603</v>
      </c>
      <c r="F334" s="9">
        <v>505</v>
      </c>
      <c r="G334" s="9">
        <v>909</v>
      </c>
      <c r="H334" s="9">
        <v>1433</v>
      </c>
      <c r="I334" s="9">
        <v>750</v>
      </c>
      <c r="J334" s="9">
        <v>1622</v>
      </c>
      <c r="K334" s="9">
        <v>436</v>
      </c>
      <c r="L334" s="9">
        <v>800</v>
      </c>
      <c r="M334" s="9">
        <v>2294</v>
      </c>
      <c r="N334" s="9">
        <v>0</v>
      </c>
      <c r="O334" s="9">
        <v>1872</v>
      </c>
      <c r="P334" s="9">
        <v>2790</v>
      </c>
      <c r="Q334" s="9">
        <v>1728</v>
      </c>
      <c r="R334" s="9">
        <v>899</v>
      </c>
      <c r="S334" s="9">
        <v>324</v>
      </c>
      <c r="T334" s="9">
        <v>1954</v>
      </c>
      <c r="U334" s="9">
        <v>1966</v>
      </c>
      <c r="V334" s="9">
        <f t="shared" si="49"/>
        <v>22005</v>
      </c>
      <c r="W334" s="98" t="s">
        <v>464</v>
      </c>
    </row>
    <row r="335" spans="1:23" ht="18" customHeight="1">
      <c r="A335" s="13" t="s">
        <v>439</v>
      </c>
      <c r="B335" s="9">
        <v>360</v>
      </c>
      <c r="C335" s="9">
        <v>258</v>
      </c>
      <c r="D335" s="9">
        <v>86</v>
      </c>
      <c r="E335" s="9">
        <v>761</v>
      </c>
      <c r="F335" s="9">
        <v>551</v>
      </c>
      <c r="G335" s="9">
        <v>1003</v>
      </c>
      <c r="H335" s="9">
        <v>1568</v>
      </c>
      <c r="I335" s="9">
        <v>890</v>
      </c>
      <c r="J335" s="9">
        <v>1780</v>
      </c>
      <c r="K335" s="9">
        <v>539</v>
      </c>
      <c r="L335" s="9">
        <v>1070</v>
      </c>
      <c r="M335" s="9">
        <v>2386</v>
      </c>
      <c r="N335" s="9">
        <v>0</v>
      </c>
      <c r="O335" s="9">
        <v>3451</v>
      </c>
      <c r="P335" s="9">
        <v>3050</v>
      </c>
      <c r="Q335" s="9">
        <v>2035</v>
      </c>
      <c r="R335" s="9">
        <v>1083</v>
      </c>
      <c r="S335" s="9">
        <v>401</v>
      </c>
      <c r="T335" s="9">
        <v>2375</v>
      </c>
      <c r="U335" s="9">
        <v>2213</v>
      </c>
      <c r="V335" s="9">
        <f t="shared" si="49"/>
        <v>25860</v>
      </c>
      <c r="W335" s="98" t="s">
        <v>469</v>
      </c>
    </row>
    <row r="336" spans="1:23" ht="18" customHeight="1">
      <c r="A336" s="13" t="s">
        <v>440</v>
      </c>
      <c r="B336" s="9">
        <v>524</v>
      </c>
      <c r="C336" s="9">
        <v>824</v>
      </c>
      <c r="D336" s="9">
        <v>112</v>
      </c>
      <c r="E336" s="9">
        <v>1098</v>
      </c>
      <c r="F336" s="9">
        <v>788</v>
      </c>
      <c r="G336" s="9">
        <v>1510</v>
      </c>
      <c r="H336" s="9">
        <v>2551</v>
      </c>
      <c r="I336" s="9">
        <v>1357</v>
      </c>
      <c r="J336" s="9">
        <v>2536</v>
      </c>
      <c r="K336" s="9">
        <v>722</v>
      </c>
      <c r="L336" s="9">
        <v>1511</v>
      </c>
      <c r="M336" s="9">
        <v>3306</v>
      </c>
      <c r="N336" s="9">
        <v>0</v>
      </c>
      <c r="O336" s="9">
        <v>6689</v>
      </c>
      <c r="P336" s="9">
        <v>4249</v>
      </c>
      <c r="Q336" s="9">
        <v>2988</v>
      </c>
      <c r="R336" s="9">
        <v>1569</v>
      </c>
      <c r="S336" s="9">
        <v>640</v>
      </c>
      <c r="T336" s="9">
        <v>3155</v>
      </c>
      <c r="U336" s="9">
        <v>3264</v>
      </c>
      <c r="V336" s="9">
        <f>SUM(B336:U336)</f>
        <v>39393</v>
      </c>
      <c r="W336" s="98" t="s">
        <v>469</v>
      </c>
    </row>
    <row r="337" spans="1:23" ht="18" customHeight="1">
      <c r="A337" s="13" t="s">
        <v>441</v>
      </c>
      <c r="B337" s="9">
        <v>829</v>
      </c>
      <c r="C337" s="9">
        <v>817</v>
      </c>
      <c r="D337" s="9">
        <v>147</v>
      </c>
      <c r="E337" s="9">
        <v>1592</v>
      </c>
      <c r="F337" s="9">
        <v>1349</v>
      </c>
      <c r="G337" s="9">
        <v>2139</v>
      </c>
      <c r="H337" s="9">
        <v>3564</v>
      </c>
      <c r="I337" s="9">
        <v>1926</v>
      </c>
      <c r="J337" s="9">
        <v>3542</v>
      </c>
      <c r="K337" s="9">
        <v>1000</v>
      </c>
      <c r="L337" s="9">
        <v>2079</v>
      </c>
      <c r="M337" s="9">
        <v>4040</v>
      </c>
      <c r="N337" s="9">
        <v>0</v>
      </c>
      <c r="O337" s="9">
        <v>8940</v>
      </c>
      <c r="P337" s="9">
        <v>5631</v>
      </c>
      <c r="Q337" s="9">
        <v>3986</v>
      </c>
      <c r="R337" s="9">
        <v>2052</v>
      </c>
      <c r="S337" s="9">
        <v>828</v>
      </c>
      <c r="T337" s="9">
        <v>3909</v>
      </c>
      <c r="U337" s="9">
        <v>4064</v>
      </c>
      <c r="V337" s="9">
        <f>SUM(B337:U337)</f>
        <v>52434</v>
      </c>
      <c r="W337" s="98" t="s">
        <v>470</v>
      </c>
    </row>
    <row r="338" spans="1:23" ht="18" customHeight="1">
      <c r="A338" s="15" t="s">
        <v>74</v>
      </c>
      <c r="B338" s="14">
        <f aca="true" t="shared" si="50" ref="B338:V338">SUM(B326:B337)</f>
        <v>6253</v>
      </c>
      <c r="C338" s="14">
        <f t="shared" si="50"/>
        <v>6985</v>
      </c>
      <c r="D338" s="14">
        <f t="shared" si="50"/>
        <v>1416</v>
      </c>
      <c r="E338" s="14">
        <f t="shared" si="50"/>
        <v>11229</v>
      </c>
      <c r="F338" s="14">
        <f t="shared" si="50"/>
        <v>8646</v>
      </c>
      <c r="G338" s="14">
        <f t="shared" si="50"/>
        <v>16563</v>
      </c>
      <c r="H338" s="14">
        <f t="shared" si="50"/>
        <v>26301</v>
      </c>
      <c r="I338" s="14">
        <f t="shared" si="50"/>
        <v>15477</v>
      </c>
      <c r="J338" s="14">
        <f t="shared" si="50"/>
        <v>27621</v>
      </c>
      <c r="K338" s="14">
        <f t="shared" si="50"/>
        <v>8605</v>
      </c>
      <c r="L338" s="14">
        <f t="shared" si="50"/>
        <v>17355</v>
      </c>
      <c r="M338" s="14">
        <f t="shared" si="50"/>
        <v>35826</v>
      </c>
      <c r="N338" s="14">
        <f t="shared" si="50"/>
        <v>0</v>
      </c>
      <c r="O338" s="14">
        <f t="shared" si="50"/>
        <v>57933</v>
      </c>
      <c r="P338" s="14">
        <f t="shared" si="50"/>
        <v>40044</v>
      </c>
      <c r="Q338" s="14">
        <f t="shared" si="50"/>
        <v>31368</v>
      </c>
      <c r="R338" s="14">
        <f t="shared" si="50"/>
        <v>15209</v>
      </c>
      <c r="S338" s="14">
        <f t="shared" si="50"/>
        <v>6772</v>
      </c>
      <c r="T338" s="14">
        <f t="shared" si="50"/>
        <v>34678</v>
      </c>
      <c r="U338" s="14">
        <f t="shared" si="50"/>
        <v>31139</v>
      </c>
      <c r="V338" s="14">
        <f t="shared" si="50"/>
        <v>399420</v>
      </c>
      <c r="W338" s="98"/>
    </row>
    <row r="339" ht="18" customHeight="1"/>
    <row r="340" ht="18" customHeight="1"/>
    <row r="341" spans="1:23" ht="18" customHeight="1">
      <c r="A341" s="9" t="s">
        <v>18</v>
      </c>
      <c r="B341" s="9" t="s">
        <v>0</v>
      </c>
      <c r="C341" s="9" t="s">
        <v>1</v>
      </c>
      <c r="D341" s="9" t="s">
        <v>2</v>
      </c>
      <c r="E341" s="9" t="s">
        <v>3</v>
      </c>
      <c r="F341" s="9" t="s">
        <v>4</v>
      </c>
      <c r="G341" s="9" t="s">
        <v>5</v>
      </c>
      <c r="H341" s="9" t="s">
        <v>6</v>
      </c>
      <c r="I341" s="9" t="s">
        <v>7</v>
      </c>
      <c r="J341" s="9" t="s">
        <v>8</v>
      </c>
      <c r="K341" s="9" t="s">
        <v>9</v>
      </c>
      <c r="L341" s="9" t="s">
        <v>10</v>
      </c>
      <c r="M341" s="9" t="s">
        <v>11</v>
      </c>
      <c r="N341" s="9" t="s">
        <v>12</v>
      </c>
      <c r="O341" s="9" t="s">
        <v>13</v>
      </c>
      <c r="P341" s="9" t="s">
        <v>14</v>
      </c>
      <c r="Q341" s="9" t="s">
        <v>15</v>
      </c>
      <c r="R341" s="9" t="s">
        <v>16</v>
      </c>
      <c r="S341" s="9" t="s">
        <v>17</v>
      </c>
      <c r="T341" s="9" t="s">
        <v>217</v>
      </c>
      <c r="U341" s="9" t="s">
        <v>218</v>
      </c>
      <c r="V341" s="10" t="s">
        <v>68</v>
      </c>
      <c r="W341" s="9" t="s">
        <v>405</v>
      </c>
    </row>
    <row r="342" spans="1:23" ht="18" customHeight="1">
      <c r="A342" s="13" t="s">
        <v>483</v>
      </c>
      <c r="B342" s="16">
        <v>570</v>
      </c>
      <c r="C342" s="2">
        <v>545</v>
      </c>
      <c r="D342" s="9">
        <v>104</v>
      </c>
      <c r="E342" s="9">
        <v>978</v>
      </c>
      <c r="F342" s="9">
        <v>832</v>
      </c>
      <c r="G342" s="9">
        <v>1266</v>
      </c>
      <c r="H342" s="9">
        <v>2154</v>
      </c>
      <c r="I342" s="9">
        <v>1166</v>
      </c>
      <c r="J342" s="9">
        <v>2210</v>
      </c>
      <c r="K342" s="9">
        <v>789</v>
      </c>
      <c r="L342" s="9">
        <v>1556</v>
      </c>
      <c r="M342" s="9">
        <v>2972</v>
      </c>
      <c r="N342" s="9">
        <v>0</v>
      </c>
      <c r="O342" s="9">
        <v>5756</v>
      </c>
      <c r="P342" s="9">
        <v>3774</v>
      </c>
      <c r="Q342" s="9">
        <v>2509</v>
      </c>
      <c r="R342" s="9">
        <v>1162</v>
      </c>
      <c r="S342" s="9">
        <v>543</v>
      </c>
      <c r="T342" s="9">
        <v>2713</v>
      </c>
      <c r="U342" s="9">
        <v>2276</v>
      </c>
      <c r="V342" s="9">
        <f aca="true" t="shared" si="51" ref="V342:V351">SUM(B342:U342)</f>
        <v>33875</v>
      </c>
      <c r="W342" s="98" t="s">
        <v>496</v>
      </c>
    </row>
    <row r="343" spans="1:23" ht="18" customHeight="1">
      <c r="A343" s="13" t="s">
        <v>484</v>
      </c>
      <c r="B343" s="16">
        <v>634</v>
      </c>
      <c r="C343" s="2">
        <v>654</v>
      </c>
      <c r="D343" s="9">
        <v>112</v>
      </c>
      <c r="E343" s="9">
        <v>1157</v>
      </c>
      <c r="F343" s="9">
        <v>1041</v>
      </c>
      <c r="G343" s="9">
        <v>1522</v>
      </c>
      <c r="H343" s="9">
        <v>2662</v>
      </c>
      <c r="I343" s="9">
        <v>1420</v>
      </c>
      <c r="J343" s="9">
        <v>2634</v>
      </c>
      <c r="K343" s="9">
        <v>761</v>
      </c>
      <c r="L343" s="9">
        <v>1504</v>
      </c>
      <c r="M343" s="9">
        <v>2768</v>
      </c>
      <c r="N343" s="9">
        <v>0</v>
      </c>
      <c r="O343" s="9">
        <v>6511</v>
      </c>
      <c r="P343" s="9">
        <v>3948</v>
      </c>
      <c r="Q343" s="9">
        <v>3097</v>
      </c>
      <c r="R343" s="9">
        <v>1295</v>
      </c>
      <c r="S343" s="9">
        <v>825</v>
      </c>
      <c r="T343" s="9">
        <v>2759</v>
      </c>
      <c r="U343" s="9">
        <v>2890</v>
      </c>
      <c r="V343" s="9">
        <f t="shared" si="51"/>
        <v>38194</v>
      </c>
      <c r="W343" s="98" t="s">
        <v>497</v>
      </c>
    </row>
    <row r="344" spans="1:23" ht="18" customHeight="1">
      <c r="A344" s="13" t="s">
        <v>485</v>
      </c>
      <c r="B344" s="16">
        <v>769</v>
      </c>
      <c r="C344" s="2">
        <v>891</v>
      </c>
      <c r="D344" s="9">
        <v>132</v>
      </c>
      <c r="E344" s="9">
        <v>1661</v>
      </c>
      <c r="F344" s="9">
        <v>1717</v>
      </c>
      <c r="G344" s="9">
        <v>2395</v>
      </c>
      <c r="H344" s="9">
        <v>4247</v>
      </c>
      <c r="I344" s="9">
        <v>2339</v>
      </c>
      <c r="J344" s="9">
        <v>4001</v>
      </c>
      <c r="K344" s="9">
        <v>1024</v>
      </c>
      <c r="L344" s="9">
        <v>2577</v>
      </c>
      <c r="M344" s="9">
        <v>4781</v>
      </c>
      <c r="N344" s="9">
        <v>0</v>
      </c>
      <c r="O344" s="9">
        <v>9475</v>
      </c>
      <c r="P344" s="9">
        <v>6256</v>
      </c>
      <c r="Q344" s="9">
        <v>4675</v>
      </c>
      <c r="R344" s="9">
        <v>2197</v>
      </c>
      <c r="S344" s="9">
        <v>1341</v>
      </c>
      <c r="T344" s="9">
        <v>3884</v>
      </c>
      <c r="U344" s="8">
        <v>4613</v>
      </c>
      <c r="V344" s="9">
        <f t="shared" si="51"/>
        <v>58975</v>
      </c>
      <c r="W344" s="98" t="s">
        <v>499</v>
      </c>
    </row>
    <row r="345" spans="1:23" ht="18" customHeight="1">
      <c r="A345" s="13" t="s">
        <v>486</v>
      </c>
      <c r="B345" s="9">
        <v>671</v>
      </c>
      <c r="C345" s="92">
        <v>706</v>
      </c>
      <c r="D345" s="9">
        <v>95</v>
      </c>
      <c r="E345" s="9">
        <v>1177</v>
      </c>
      <c r="F345" s="9">
        <v>1179</v>
      </c>
      <c r="G345" s="9">
        <v>1631</v>
      </c>
      <c r="H345" s="9">
        <v>2905</v>
      </c>
      <c r="I345" s="9">
        <v>1615</v>
      </c>
      <c r="J345" s="9">
        <v>2760</v>
      </c>
      <c r="K345" s="9">
        <v>1820</v>
      </c>
      <c r="L345" s="9">
        <v>1845</v>
      </c>
      <c r="M345" s="9">
        <v>4135</v>
      </c>
      <c r="N345" s="9">
        <v>0</v>
      </c>
      <c r="O345" s="9">
        <v>7525</v>
      </c>
      <c r="P345" s="9">
        <v>4329</v>
      </c>
      <c r="Q345" s="9">
        <v>3003</v>
      </c>
      <c r="R345" s="9">
        <v>1328</v>
      </c>
      <c r="S345" s="9">
        <v>828</v>
      </c>
      <c r="T345" s="9">
        <v>3200</v>
      </c>
      <c r="U345" s="9">
        <v>3246</v>
      </c>
      <c r="V345" s="9">
        <f t="shared" si="51"/>
        <v>43998</v>
      </c>
      <c r="W345" s="98" t="s">
        <v>504</v>
      </c>
    </row>
    <row r="346" spans="1:23" ht="18" customHeight="1">
      <c r="A346" s="13" t="s">
        <v>487</v>
      </c>
      <c r="B346" s="9">
        <v>587</v>
      </c>
      <c r="C346" s="9">
        <v>626</v>
      </c>
      <c r="D346" s="9">
        <v>86</v>
      </c>
      <c r="E346" s="9">
        <v>1106</v>
      </c>
      <c r="F346" s="9">
        <v>1105</v>
      </c>
      <c r="G346" s="9">
        <v>1469</v>
      </c>
      <c r="H346" s="9">
        <v>1945</v>
      </c>
      <c r="I346" s="9">
        <v>1480</v>
      </c>
      <c r="J346" s="9">
        <v>2452</v>
      </c>
      <c r="K346" s="9">
        <v>0</v>
      </c>
      <c r="L346" s="9">
        <v>1864</v>
      </c>
      <c r="M346" s="9">
        <v>3123</v>
      </c>
      <c r="N346" s="9">
        <v>0</v>
      </c>
      <c r="O346" s="9">
        <v>7156</v>
      </c>
      <c r="P346" s="9">
        <v>4614</v>
      </c>
      <c r="Q346" s="9">
        <v>2854</v>
      </c>
      <c r="R346" s="9">
        <v>1358</v>
      </c>
      <c r="S346" s="9">
        <v>818</v>
      </c>
      <c r="T346" s="9">
        <v>2606</v>
      </c>
      <c r="U346" s="9">
        <v>2922</v>
      </c>
      <c r="V346" s="9">
        <f t="shared" si="51"/>
        <v>38171</v>
      </c>
      <c r="W346" s="98" t="s">
        <v>505</v>
      </c>
    </row>
    <row r="347" spans="1:23" ht="18" customHeight="1">
      <c r="A347" s="13" t="s">
        <v>488</v>
      </c>
      <c r="B347" s="9">
        <v>461</v>
      </c>
      <c r="C347" s="9">
        <v>463</v>
      </c>
      <c r="D347" s="9">
        <v>69</v>
      </c>
      <c r="E347" s="9">
        <v>742</v>
      </c>
      <c r="F347" s="9">
        <v>800</v>
      </c>
      <c r="G347" s="9">
        <v>1118</v>
      </c>
      <c r="H347" s="9">
        <v>2191</v>
      </c>
      <c r="I347" s="9">
        <v>1085</v>
      </c>
      <c r="J347" s="9">
        <v>1983</v>
      </c>
      <c r="K347" s="9">
        <v>231</v>
      </c>
      <c r="L347" s="9">
        <v>1085</v>
      </c>
      <c r="M347" s="9">
        <v>2910</v>
      </c>
      <c r="N347" s="9">
        <v>0</v>
      </c>
      <c r="O347" s="9">
        <v>3400</v>
      </c>
      <c r="P347" s="9">
        <v>3443</v>
      </c>
      <c r="Q347" s="9">
        <v>1801</v>
      </c>
      <c r="R347" s="9">
        <v>999</v>
      </c>
      <c r="S347" s="9">
        <v>578</v>
      </c>
      <c r="T347" s="9">
        <v>2323</v>
      </c>
      <c r="U347" s="9">
        <v>2073</v>
      </c>
      <c r="V347" s="9">
        <f t="shared" si="51"/>
        <v>27755</v>
      </c>
      <c r="W347" s="98" t="s">
        <v>509</v>
      </c>
    </row>
    <row r="348" spans="1:23" ht="18" customHeight="1">
      <c r="A348" s="13" t="s">
        <v>489</v>
      </c>
      <c r="B348" s="9">
        <v>320</v>
      </c>
      <c r="C348" s="9">
        <v>353</v>
      </c>
      <c r="D348" s="9">
        <v>46</v>
      </c>
      <c r="E348" s="9">
        <v>1</v>
      </c>
      <c r="F348" s="9">
        <v>120</v>
      </c>
      <c r="G348" s="9">
        <v>164</v>
      </c>
      <c r="H348" s="9">
        <v>1110</v>
      </c>
      <c r="I348" s="9">
        <v>279</v>
      </c>
      <c r="J348" s="9">
        <v>817</v>
      </c>
      <c r="K348" s="9">
        <v>321</v>
      </c>
      <c r="L348" s="9">
        <v>264</v>
      </c>
      <c r="M348" s="9">
        <f>698+7+1017</f>
        <v>1722</v>
      </c>
      <c r="N348" s="9">
        <v>0</v>
      </c>
      <c r="O348" s="9">
        <v>1554</v>
      </c>
      <c r="P348" s="9">
        <v>3</v>
      </c>
      <c r="Q348" s="9">
        <v>12</v>
      </c>
      <c r="R348" s="9">
        <v>716</v>
      </c>
      <c r="S348" s="9">
        <v>452</v>
      </c>
      <c r="T348" s="9">
        <v>1188</v>
      </c>
      <c r="U348" s="9">
        <v>1242</v>
      </c>
      <c r="V348" s="9">
        <f t="shared" si="51"/>
        <v>10684</v>
      </c>
      <c r="W348" s="98" t="s">
        <v>512</v>
      </c>
    </row>
    <row r="349" spans="1:23" ht="18" customHeight="1">
      <c r="A349" s="13" t="s">
        <v>490</v>
      </c>
      <c r="B349" s="9">
        <v>277</v>
      </c>
      <c r="C349" s="9">
        <v>324</v>
      </c>
      <c r="D349" s="9">
        <v>43</v>
      </c>
      <c r="E349" s="9">
        <v>15</v>
      </c>
      <c r="F349" s="9">
        <v>177</v>
      </c>
      <c r="G349" s="9">
        <v>244</v>
      </c>
      <c r="H349" s="9">
        <v>1062</v>
      </c>
      <c r="I349" s="9">
        <v>280</v>
      </c>
      <c r="J349" s="9">
        <v>1001</v>
      </c>
      <c r="K349" s="9">
        <v>285</v>
      </c>
      <c r="L349" s="9">
        <v>225</v>
      </c>
      <c r="M349" s="9">
        <f>321+4+847</f>
        <v>1172</v>
      </c>
      <c r="N349" s="9">
        <v>0</v>
      </c>
      <c r="O349" s="9">
        <v>1202</v>
      </c>
      <c r="P349" s="9">
        <f>39+49</f>
        <v>88</v>
      </c>
      <c r="Q349" s="9">
        <v>342</v>
      </c>
      <c r="R349" s="9">
        <v>586</v>
      </c>
      <c r="S349" s="9">
        <v>346</v>
      </c>
      <c r="T349" s="9">
        <v>1178</v>
      </c>
      <c r="U349" s="9">
        <v>1197</v>
      </c>
      <c r="V349" s="9">
        <f t="shared" si="51"/>
        <v>10044</v>
      </c>
      <c r="W349" s="98" t="s">
        <v>514</v>
      </c>
    </row>
    <row r="350" spans="1:23" ht="18" customHeight="1">
      <c r="A350" s="13" t="s">
        <v>491</v>
      </c>
      <c r="B350" s="9">
        <v>285</v>
      </c>
      <c r="C350" s="9">
        <v>315</v>
      </c>
      <c r="D350" s="9">
        <v>55</v>
      </c>
      <c r="E350" s="9">
        <v>558</v>
      </c>
      <c r="F350" s="9">
        <v>459</v>
      </c>
      <c r="G350" s="9">
        <v>669</v>
      </c>
      <c r="H350" s="9">
        <v>1046</v>
      </c>
      <c r="I350" s="9">
        <v>598</v>
      </c>
      <c r="J350" s="9">
        <v>1150</v>
      </c>
      <c r="K350" s="9">
        <v>396</v>
      </c>
      <c r="L350" s="9">
        <v>812</v>
      </c>
      <c r="M350" s="9">
        <v>1670</v>
      </c>
      <c r="N350" s="9">
        <v>0</v>
      </c>
      <c r="O350" s="9">
        <v>1872</v>
      </c>
      <c r="P350" s="9">
        <v>2754</v>
      </c>
      <c r="Q350" s="9">
        <v>1997</v>
      </c>
      <c r="R350" s="9">
        <v>814</v>
      </c>
      <c r="S350" s="9">
        <v>431</v>
      </c>
      <c r="T350" s="9">
        <v>1603</v>
      </c>
      <c r="U350" s="9">
        <v>1427</v>
      </c>
      <c r="V350" s="9">
        <f t="shared" si="51"/>
        <v>18911</v>
      </c>
      <c r="W350" s="98" t="s">
        <v>516</v>
      </c>
    </row>
    <row r="351" spans="1:23" ht="18" customHeight="1">
      <c r="A351" s="13" t="s">
        <v>492</v>
      </c>
      <c r="B351" s="9">
        <v>386</v>
      </c>
      <c r="C351" s="9">
        <v>432</v>
      </c>
      <c r="D351" s="9">
        <v>78</v>
      </c>
      <c r="E351" s="9">
        <v>913</v>
      </c>
      <c r="F351" s="9">
        <v>815</v>
      </c>
      <c r="G351" s="9">
        <v>1092</v>
      </c>
      <c r="H351" s="9">
        <v>2210</v>
      </c>
      <c r="I351" s="9">
        <v>1142</v>
      </c>
      <c r="J351" s="9">
        <v>2335</v>
      </c>
      <c r="K351" s="9">
        <v>617</v>
      </c>
      <c r="L351" s="9">
        <v>1188</v>
      </c>
      <c r="M351" s="9">
        <f>1056+94+1256</f>
        <v>2406</v>
      </c>
      <c r="N351" s="9">
        <v>0</v>
      </c>
      <c r="O351" s="9">
        <v>3050</v>
      </c>
      <c r="P351" s="9">
        <f>1400+1747</f>
        <v>3147</v>
      </c>
      <c r="Q351" s="9">
        <v>2991</v>
      </c>
      <c r="R351" s="9">
        <v>1037</v>
      </c>
      <c r="S351" s="9">
        <v>561</v>
      </c>
      <c r="T351" s="9">
        <v>1928</v>
      </c>
      <c r="U351" s="9">
        <v>2691</v>
      </c>
      <c r="V351" s="9">
        <f t="shared" si="51"/>
        <v>29019</v>
      </c>
      <c r="W351" s="98" t="s">
        <v>518</v>
      </c>
    </row>
    <row r="352" spans="1:23" ht="18" customHeight="1">
      <c r="A352" s="13" t="s">
        <v>493</v>
      </c>
      <c r="B352" s="9">
        <v>582</v>
      </c>
      <c r="C352" s="9">
        <v>643</v>
      </c>
      <c r="D352" s="9">
        <v>114</v>
      </c>
      <c r="E352" s="9">
        <v>1393</v>
      </c>
      <c r="F352" s="9">
        <v>1029</v>
      </c>
      <c r="G352" s="9">
        <v>1504</v>
      </c>
      <c r="H352" s="9">
        <v>2325</v>
      </c>
      <c r="I352" s="9">
        <v>1476</v>
      </c>
      <c r="J352" s="9">
        <v>2697</v>
      </c>
      <c r="K352" s="9">
        <v>889</v>
      </c>
      <c r="L352" s="9">
        <v>1900</v>
      </c>
      <c r="M352" s="9">
        <f>1026+281+1986</f>
        <v>3293</v>
      </c>
      <c r="N352" s="9">
        <v>0</v>
      </c>
      <c r="O352" s="9">
        <v>6689</v>
      </c>
      <c r="P352" s="9">
        <f>1862+2270</f>
        <v>4132</v>
      </c>
      <c r="Q352" s="9">
        <v>3822</v>
      </c>
      <c r="R352" s="9">
        <v>1685</v>
      </c>
      <c r="S352" s="9">
        <v>946</v>
      </c>
      <c r="T352" s="9">
        <v>3176</v>
      </c>
      <c r="U352" s="9">
        <v>2833</v>
      </c>
      <c r="V352" s="9">
        <f>SUM(B352:U352)</f>
        <v>41128</v>
      </c>
      <c r="W352" s="98" t="s">
        <v>520</v>
      </c>
    </row>
    <row r="353" spans="1:23" ht="18" customHeight="1">
      <c r="A353" s="13" t="s">
        <v>494</v>
      </c>
      <c r="B353" s="9">
        <v>815</v>
      </c>
      <c r="C353" s="9">
        <v>855</v>
      </c>
      <c r="D353" s="9">
        <v>137</v>
      </c>
      <c r="E353" s="9">
        <v>1713</v>
      </c>
      <c r="F353" s="9">
        <v>1701</v>
      </c>
      <c r="G353" s="9">
        <v>2161</v>
      </c>
      <c r="H353" s="9">
        <v>3689</v>
      </c>
      <c r="I353" s="9">
        <v>2047</v>
      </c>
      <c r="J353" s="9">
        <v>3566</v>
      </c>
      <c r="K353" s="9">
        <v>1339</v>
      </c>
      <c r="L353" s="9">
        <v>2761</v>
      </c>
      <c r="M353" s="9">
        <f>1825+236+2009</f>
        <v>4070</v>
      </c>
      <c r="N353" s="9">
        <v>0</v>
      </c>
      <c r="O353" s="9">
        <v>8940</v>
      </c>
      <c r="P353" s="9">
        <f>2314+2744</f>
        <v>5058</v>
      </c>
      <c r="Q353" s="9">
        <v>4853</v>
      </c>
      <c r="R353" s="9">
        <v>9424</v>
      </c>
      <c r="S353" s="9">
        <v>1088</v>
      </c>
      <c r="T353" s="9">
        <v>3870</v>
      </c>
      <c r="U353" s="9">
        <v>4264</v>
      </c>
      <c r="V353" s="9">
        <f>SUM(B353:U353)</f>
        <v>62351</v>
      </c>
      <c r="W353" s="98" t="s">
        <v>522</v>
      </c>
    </row>
    <row r="354" spans="1:23" ht="18" customHeight="1">
      <c r="A354" s="15" t="s">
        <v>74</v>
      </c>
      <c r="B354" s="14">
        <f aca="true" t="shared" si="52" ref="B354:V354">SUM(B342:B353)</f>
        <v>6357</v>
      </c>
      <c r="C354" s="14">
        <f t="shared" si="52"/>
        <v>6807</v>
      </c>
      <c r="D354" s="14">
        <f t="shared" si="52"/>
        <v>1071</v>
      </c>
      <c r="E354" s="14">
        <f t="shared" si="52"/>
        <v>11414</v>
      </c>
      <c r="F354" s="14">
        <f t="shared" si="52"/>
        <v>10975</v>
      </c>
      <c r="G354" s="14">
        <f t="shared" si="52"/>
        <v>15235</v>
      </c>
      <c r="H354" s="14">
        <f t="shared" si="52"/>
        <v>27546</v>
      </c>
      <c r="I354" s="14">
        <f t="shared" si="52"/>
        <v>14927</v>
      </c>
      <c r="J354" s="14">
        <f t="shared" si="52"/>
        <v>27606</v>
      </c>
      <c r="K354" s="14">
        <f t="shared" si="52"/>
        <v>8472</v>
      </c>
      <c r="L354" s="14">
        <f t="shared" si="52"/>
        <v>17581</v>
      </c>
      <c r="M354" s="14">
        <f t="shared" si="52"/>
        <v>35022</v>
      </c>
      <c r="N354" s="14">
        <f t="shared" si="52"/>
        <v>0</v>
      </c>
      <c r="O354" s="14">
        <f t="shared" si="52"/>
        <v>63130</v>
      </c>
      <c r="P354" s="14">
        <f t="shared" si="52"/>
        <v>41546</v>
      </c>
      <c r="Q354" s="14">
        <f t="shared" si="52"/>
        <v>31956</v>
      </c>
      <c r="R354" s="14">
        <f t="shared" si="52"/>
        <v>22601</v>
      </c>
      <c r="S354" s="14">
        <f t="shared" si="52"/>
        <v>8757</v>
      </c>
      <c r="T354" s="14">
        <f t="shared" si="52"/>
        <v>30428</v>
      </c>
      <c r="U354" s="14">
        <f t="shared" si="52"/>
        <v>31674</v>
      </c>
      <c r="V354" s="14">
        <f t="shared" si="52"/>
        <v>413105</v>
      </c>
      <c r="W354" s="98"/>
    </row>
    <row r="355" ht="18" customHeight="1">
      <c r="K355" s="8" t="s">
        <v>506</v>
      </c>
    </row>
    <row r="356" ht="18" customHeight="1"/>
    <row r="357" spans="1:27" ht="35.25" customHeight="1">
      <c r="A357" s="9" t="s">
        <v>18</v>
      </c>
      <c r="B357" s="9" t="s">
        <v>0</v>
      </c>
      <c r="C357" s="9" t="s">
        <v>1</v>
      </c>
      <c r="D357" s="9" t="s">
        <v>2</v>
      </c>
      <c r="E357" s="9" t="s">
        <v>3</v>
      </c>
      <c r="F357" s="9" t="s">
        <v>4</v>
      </c>
      <c r="G357" s="9" t="s">
        <v>5</v>
      </c>
      <c r="H357" s="9" t="s">
        <v>6</v>
      </c>
      <c r="I357" s="9" t="s">
        <v>7</v>
      </c>
      <c r="J357" s="9" t="s">
        <v>8</v>
      </c>
      <c r="K357" s="9" t="s">
        <v>9</v>
      </c>
      <c r="L357" s="9" t="s">
        <v>10</v>
      </c>
      <c r="M357" s="9" t="s">
        <v>11</v>
      </c>
      <c r="N357" s="9" t="s">
        <v>12</v>
      </c>
      <c r="O357" s="9" t="s">
        <v>13</v>
      </c>
      <c r="P357" s="9" t="s">
        <v>14</v>
      </c>
      <c r="Q357" s="9" t="s">
        <v>15</v>
      </c>
      <c r="R357" s="9" t="s">
        <v>16</v>
      </c>
      <c r="S357" s="9" t="s">
        <v>17</v>
      </c>
      <c r="T357" s="9" t="s">
        <v>217</v>
      </c>
      <c r="U357" s="9" t="s">
        <v>218</v>
      </c>
      <c r="V357" s="107" t="s">
        <v>536</v>
      </c>
      <c r="W357" s="9" t="s">
        <v>18</v>
      </c>
      <c r="X357" s="9" t="s">
        <v>531</v>
      </c>
      <c r="Y357" s="9" t="s">
        <v>532</v>
      </c>
      <c r="Z357" s="107" t="s">
        <v>533</v>
      </c>
      <c r="AA357" s="9" t="s">
        <v>534</v>
      </c>
    </row>
    <row r="358" spans="1:27" ht="18" customHeight="1">
      <c r="A358" s="13" t="s">
        <v>523</v>
      </c>
      <c r="B358" s="16">
        <v>855</v>
      </c>
      <c r="C358" s="2">
        <v>874</v>
      </c>
      <c r="D358" s="9">
        <v>129</v>
      </c>
      <c r="E358" s="9">
        <v>1902</v>
      </c>
      <c r="F358" s="9">
        <v>1477</v>
      </c>
      <c r="G358" s="9">
        <v>1939</v>
      </c>
      <c r="H358" s="9">
        <v>2998</v>
      </c>
      <c r="I358" s="9">
        <v>1720</v>
      </c>
      <c r="J358" s="9">
        <v>3430</v>
      </c>
      <c r="K358" s="9">
        <v>179</v>
      </c>
      <c r="L358" s="9">
        <v>2052</v>
      </c>
      <c r="M358" s="9">
        <f>1801+119+1873</f>
        <v>3793</v>
      </c>
      <c r="N358" s="9">
        <v>0</v>
      </c>
      <c r="O358" s="9">
        <v>5755</v>
      </c>
      <c r="P358" s="9">
        <f>2204+2588</f>
        <v>4792</v>
      </c>
      <c r="Q358" s="9">
        <v>4453</v>
      </c>
      <c r="R358" s="9">
        <v>18508</v>
      </c>
      <c r="S358" s="9">
        <v>975</v>
      </c>
      <c r="T358" s="9">
        <v>3558</v>
      </c>
      <c r="U358" s="9">
        <v>3654</v>
      </c>
      <c r="V358" s="108">
        <f aca="true" t="shared" si="53" ref="V358:V369">SUM(B358:U358)</f>
        <v>63043</v>
      </c>
      <c r="W358" s="13" t="s">
        <v>523</v>
      </c>
      <c r="X358" s="9"/>
      <c r="Y358" s="9"/>
      <c r="Z358" s="108"/>
      <c r="AA358" s="98" t="s">
        <v>535</v>
      </c>
    </row>
    <row r="359" spans="1:27" ht="18" customHeight="1">
      <c r="A359" s="13" t="s">
        <v>539</v>
      </c>
      <c r="B359" s="16">
        <v>613</v>
      </c>
      <c r="C359" s="2">
        <v>647</v>
      </c>
      <c r="D359" s="9">
        <v>107</v>
      </c>
      <c r="E359" s="9">
        <v>1146</v>
      </c>
      <c r="F359" s="9">
        <v>945</v>
      </c>
      <c r="G359" s="9">
        <v>1265</v>
      </c>
      <c r="H359" s="9">
        <v>2058</v>
      </c>
      <c r="I359" s="9">
        <v>1116</v>
      </c>
      <c r="J359" s="9">
        <v>2480</v>
      </c>
      <c r="K359" s="9">
        <v>1883</v>
      </c>
      <c r="L359" s="9">
        <v>1419</v>
      </c>
      <c r="M359" s="9">
        <f>919+36+1251</f>
        <v>2206</v>
      </c>
      <c r="N359" s="9">
        <v>0</v>
      </c>
      <c r="O359" s="9">
        <v>6511</v>
      </c>
      <c r="P359" s="9">
        <f>1265+1575</f>
        <v>2840</v>
      </c>
      <c r="Q359" s="9">
        <v>1620</v>
      </c>
      <c r="R359" s="9">
        <v>9797</v>
      </c>
      <c r="S359" s="9">
        <v>625</v>
      </c>
      <c r="T359" s="9">
        <v>2153</v>
      </c>
      <c r="U359" s="9">
        <v>2470</v>
      </c>
      <c r="V359" s="108">
        <f t="shared" si="53"/>
        <v>41901</v>
      </c>
      <c r="W359" s="13" t="s">
        <v>539</v>
      </c>
      <c r="X359" s="9">
        <v>7394</v>
      </c>
      <c r="Y359" s="9">
        <v>11430</v>
      </c>
      <c r="Z359" s="108">
        <f>X359+Y359</f>
        <v>18824</v>
      </c>
      <c r="AA359" s="98"/>
    </row>
    <row r="360" spans="1:27" ht="18" customHeight="1">
      <c r="A360" s="13" t="s">
        <v>541</v>
      </c>
      <c r="B360" s="16">
        <v>720</v>
      </c>
      <c r="C360" s="2">
        <v>847</v>
      </c>
      <c r="D360" s="9">
        <v>132</v>
      </c>
      <c r="E360" s="9">
        <v>1876</v>
      </c>
      <c r="F360" s="9">
        <v>1760</v>
      </c>
      <c r="G360" s="9">
        <v>2243</v>
      </c>
      <c r="H360" s="9">
        <v>3546</v>
      </c>
      <c r="I360" s="9">
        <v>2167</v>
      </c>
      <c r="J360" s="9">
        <v>3745</v>
      </c>
      <c r="K360" s="9">
        <v>1172</v>
      </c>
      <c r="L360" s="9">
        <v>2387</v>
      </c>
      <c r="M360" s="9">
        <v>4396</v>
      </c>
      <c r="N360" s="9">
        <v>0</v>
      </c>
      <c r="O360" s="9">
        <v>9475</v>
      </c>
      <c r="P360" s="9">
        <v>5240</v>
      </c>
      <c r="Q360" s="9">
        <v>5722</v>
      </c>
      <c r="R360" s="9">
        <v>21432</v>
      </c>
      <c r="S360" s="9">
        <v>1333</v>
      </c>
      <c r="T360" s="9">
        <v>4380</v>
      </c>
      <c r="U360" s="8">
        <v>4061</v>
      </c>
      <c r="V360" s="108">
        <f t="shared" si="53"/>
        <v>76634</v>
      </c>
      <c r="W360" s="13" t="s">
        <v>541</v>
      </c>
      <c r="X360" s="9">
        <v>3360</v>
      </c>
      <c r="Y360" s="9">
        <v>4211</v>
      </c>
      <c r="Z360" s="108">
        <f>X360+Y360</f>
        <v>7571</v>
      </c>
      <c r="AA360" s="98"/>
    </row>
    <row r="361" spans="1:27" ht="18" customHeight="1">
      <c r="A361" s="13" t="s">
        <v>563</v>
      </c>
      <c r="B361" s="9">
        <v>627</v>
      </c>
      <c r="C361" s="92">
        <v>751</v>
      </c>
      <c r="D361" s="9">
        <v>106</v>
      </c>
      <c r="E361" s="9">
        <v>1473</v>
      </c>
      <c r="F361" s="9">
        <v>1313</v>
      </c>
      <c r="G361" s="9">
        <v>1740</v>
      </c>
      <c r="H361" s="9">
        <v>2844</v>
      </c>
      <c r="I361" s="9">
        <v>1587</v>
      </c>
      <c r="J361" s="9">
        <v>2768</v>
      </c>
      <c r="K361" s="9">
        <v>982</v>
      </c>
      <c r="L361" s="9">
        <v>1960</v>
      </c>
      <c r="M361" s="9">
        <v>3637</v>
      </c>
      <c r="N361" s="9">
        <v>0</v>
      </c>
      <c r="O361" s="9">
        <v>7525</v>
      </c>
      <c r="P361" s="9">
        <v>4409</v>
      </c>
      <c r="Q361" s="9">
        <v>3912</v>
      </c>
      <c r="R361" s="9">
        <v>16086</v>
      </c>
      <c r="S361" s="9">
        <v>1015</v>
      </c>
      <c r="T361" s="9">
        <v>2675</v>
      </c>
      <c r="U361" s="9">
        <v>3232</v>
      </c>
      <c r="V361" s="108">
        <f t="shared" si="53"/>
        <v>58642</v>
      </c>
      <c r="W361" s="13" t="s">
        <v>563</v>
      </c>
      <c r="X361" s="9">
        <v>10485</v>
      </c>
      <c r="Y361" s="9">
        <v>6795</v>
      </c>
      <c r="Z361" s="108">
        <f>SUM(X361:Y361)</f>
        <v>17280</v>
      </c>
      <c r="AA361" s="98"/>
    </row>
    <row r="362" spans="1:27" ht="18" customHeight="1">
      <c r="A362" s="13" t="s">
        <v>564</v>
      </c>
      <c r="B362" s="9">
        <v>437</v>
      </c>
      <c r="C362" s="9">
        <v>536</v>
      </c>
      <c r="D362" s="9">
        <v>79</v>
      </c>
      <c r="E362" s="9">
        <v>1235</v>
      </c>
      <c r="F362" s="9">
        <v>1206</v>
      </c>
      <c r="G362" s="9">
        <v>1629</v>
      </c>
      <c r="H362" s="9">
        <v>2213</v>
      </c>
      <c r="I362" s="9">
        <v>1505</v>
      </c>
      <c r="J362" s="9">
        <v>2611</v>
      </c>
      <c r="K362" s="9">
        <v>875</v>
      </c>
      <c r="L362" s="9">
        <v>1756</v>
      </c>
      <c r="M362" s="9">
        <v>3137</v>
      </c>
      <c r="N362" s="9">
        <v>0</v>
      </c>
      <c r="O362" s="9">
        <v>6920</v>
      </c>
      <c r="P362" s="9">
        <v>4433</v>
      </c>
      <c r="Q362" s="9">
        <v>3551</v>
      </c>
      <c r="R362" s="9">
        <v>1421</v>
      </c>
      <c r="S362" s="9">
        <v>916</v>
      </c>
      <c r="T362" s="9">
        <v>2985</v>
      </c>
      <c r="U362" s="9">
        <v>2665</v>
      </c>
      <c r="V362" s="108">
        <f t="shared" si="53"/>
        <v>40110</v>
      </c>
      <c r="W362" s="13" t="s">
        <v>564</v>
      </c>
      <c r="X362" s="9">
        <v>4624</v>
      </c>
      <c r="Y362" s="9">
        <v>7606</v>
      </c>
      <c r="Z362" s="108">
        <f>X362+Y362</f>
        <v>12230</v>
      </c>
      <c r="AA362" s="98" t="s">
        <v>572</v>
      </c>
    </row>
    <row r="363" spans="1:27" ht="18" customHeight="1">
      <c r="A363" s="13" t="s">
        <v>565</v>
      </c>
      <c r="B363" s="9">
        <v>398</v>
      </c>
      <c r="C363" s="9">
        <v>484</v>
      </c>
      <c r="D363" s="9">
        <v>86</v>
      </c>
      <c r="E363" s="9">
        <v>1131</v>
      </c>
      <c r="F363" s="9">
        <v>1049</v>
      </c>
      <c r="G363" s="9">
        <v>1261</v>
      </c>
      <c r="H363" s="9">
        <v>2121</v>
      </c>
      <c r="I363" s="9">
        <v>1273</v>
      </c>
      <c r="J363" s="9">
        <v>3660</v>
      </c>
      <c r="K363" s="9">
        <v>694</v>
      </c>
      <c r="L363" s="9">
        <v>1430</v>
      </c>
      <c r="M363" s="9">
        <v>2733</v>
      </c>
      <c r="N363" s="9">
        <v>0</v>
      </c>
      <c r="O363" s="9">
        <v>4535</v>
      </c>
      <c r="P363" s="9">
        <v>3396</v>
      </c>
      <c r="Q363" s="9">
        <v>2321</v>
      </c>
      <c r="R363" s="9">
        <v>1039</v>
      </c>
      <c r="S363" s="9">
        <v>687</v>
      </c>
      <c r="T363" s="9">
        <v>2226</v>
      </c>
      <c r="U363" s="9">
        <v>2404</v>
      </c>
      <c r="V363" s="108">
        <f t="shared" si="53"/>
        <v>32928</v>
      </c>
      <c r="W363" s="13" t="s">
        <v>565</v>
      </c>
      <c r="X363" s="9">
        <v>2703</v>
      </c>
      <c r="Y363" s="9">
        <v>4949</v>
      </c>
      <c r="Z363" s="108">
        <f aca="true" t="shared" si="54" ref="Z363:Z368">SUM(X363:Y363)</f>
        <v>7652</v>
      </c>
      <c r="AA363" s="98" t="s">
        <v>573</v>
      </c>
    </row>
    <row r="364" spans="1:27" ht="18" customHeight="1">
      <c r="A364" s="13" t="s">
        <v>566</v>
      </c>
      <c r="B364" s="9">
        <v>313</v>
      </c>
      <c r="C364" s="9">
        <v>333</v>
      </c>
      <c r="D364" s="9">
        <v>78</v>
      </c>
      <c r="E364" s="9">
        <v>543</v>
      </c>
      <c r="F364" s="9">
        <v>86</v>
      </c>
      <c r="G364" s="9">
        <v>89</v>
      </c>
      <c r="H364" s="9">
        <v>756</v>
      </c>
      <c r="I364" s="9">
        <v>184</v>
      </c>
      <c r="J364" s="9">
        <v>950</v>
      </c>
      <c r="K364" s="9">
        <v>0</v>
      </c>
      <c r="L364" s="9">
        <v>179</v>
      </c>
      <c r="M364" s="9">
        <v>1187</v>
      </c>
      <c r="N364" s="9">
        <v>0</v>
      </c>
      <c r="O364" s="9">
        <v>2145</v>
      </c>
      <c r="P364" s="9">
        <v>12</v>
      </c>
      <c r="Q364" s="9">
        <v>912</v>
      </c>
      <c r="R364" s="9">
        <v>680</v>
      </c>
      <c r="S364" s="9">
        <v>384</v>
      </c>
      <c r="T364" s="9">
        <v>1504</v>
      </c>
      <c r="U364" s="9">
        <v>825</v>
      </c>
      <c r="V364" s="108">
        <f t="shared" si="53"/>
        <v>11160</v>
      </c>
      <c r="W364" s="13" t="s">
        <v>566</v>
      </c>
      <c r="X364" s="9">
        <v>2363</v>
      </c>
      <c r="Y364" s="9">
        <v>4096</v>
      </c>
      <c r="Z364" s="108">
        <f t="shared" si="54"/>
        <v>6459</v>
      </c>
      <c r="AA364" s="98"/>
    </row>
    <row r="365" spans="1:27" ht="18" customHeight="1">
      <c r="A365" s="13" t="s">
        <v>567</v>
      </c>
      <c r="B365" s="9">
        <v>291</v>
      </c>
      <c r="C365" s="9">
        <v>348</v>
      </c>
      <c r="D365" s="9">
        <v>83</v>
      </c>
      <c r="E365" s="9">
        <v>453</v>
      </c>
      <c r="F365" s="9">
        <v>257</v>
      </c>
      <c r="G365" s="9">
        <v>280</v>
      </c>
      <c r="H365" s="9">
        <v>1239</v>
      </c>
      <c r="I365" s="9">
        <v>441</v>
      </c>
      <c r="J365" s="9">
        <v>1633</v>
      </c>
      <c r="K365" s="9">
        <v>71</v>
      </c>
      <c r="L365" s="9">
        <v>170</v>
      </c>
      <c r="M365" s="9">
        <v>1072</v>
      </c>
      <c r="N365" s="9">
        <v>0</v>
      </c>
      <c r="O365" s="9">
        <v>2210</v>
      </c>
      <c r="P365" s="9">
        <v>200</v>
      </c>
      <c r="Q365" s="9">
        <v>838</v>
      </c>
      <c r="R365" s="9">
        <v>632</v>
      </c>
      <c r="S365" s="9">
        <v>362</v>
      </c>
      <c r="T365" s="9">
        <v>1209</v>
      </c>
      <c r="U365" s="9">
        <v>1367</v>
      </c>
      <c r="V365" s="108">
        <f t="shared" si="53"/>
        <v>13156</v>
      </c>
      <c r="W365" s="13" t="s">
        <v>567</v>
      </c>
      <c r="X365" s="9">
        <v>1950</v>
      </c>
      <c r="Y365" s="9">
        <v>1185</v>
      </c>
      <c r="Z365" s="108">
        <f t="shared" si="54"/>
        <v>3135</v>
      </c>
      <c r="AA365" s="98"/>
    </row>
    <row r="366" spans="1:27" ht="18" customHeight="1">
      <c r="A366" s="13" t="s">
        <v>568</v>
      </c>
      <c r="B366" s="9">
        <v>306</v>
      </c>
      <c r="C366" s="9">
        <v>354</v>
      </c>
      <c r="D366" s="9">
        <v>82</v>
      </c>
      <c r="E366" s="9">
        <v>616</v>
      </c>
      <c r="F366" s="9">
        <v>610</v>
      </c>
      <c r="G366" s="9">
        <v>785</v>
      </c>
      <c r="H366" s="9">
        <v>1166</v>
      </c>
      <c r="I366" s="9">
        <v>527</v>
      </c>
      <c r="J366" s="9">
        <v>1031</v>
      </c>
      <c r="K366" s="9">
        <v>580</v>
      </c>
      <c r="L366" s="9">
        <v>927</v>
      </c>
      <c r="M366" s="9">
        <v>1744</v>
      </c>
      <c r="N366" s="9">
        <v>0</v>
      </c>
      <c r="O366" s="9">
        <v>3383</v>
      </c>
      <c r="P366" s="9">
        <v>2603</v>
      </c>
      <c r="Q366" s="9">
        <v>1802</v>
      </c>
      <c r="R366" s="9">
        <v>784</v>
      </c>
      <c r="S366" s="9">
        <v>554</v>
      </c>
      <c r="T366" s="9">
        <v>1761</v>
      </c>
      <c r="U366" s="9">
        <v>1230</v>
      </c>
      <c r="V366" s="108">
        <f t="shared" si="53"/>
        <v>20845</v>
      </c>
      <c r="W366" s="13" t="s">
        <v>568</v>
      </c>
      <c r="X366" s="9">
        <v>506</v>
      </c>
      <c r="Y366" s="9">
        <v>0</v>
      </c>
      <c r="Z366" s="108">
        <f t="shared" si="54"/>
        <v>506</v>
      </c>
      <c r="AA366" s="98"/>
    </row>
    <row r="367" spans="1:27" ht="18" customHeight="1">
      <c r="A367" s="13" t="s">
        <v>569</v>
      </c>
      <c r="B367" s="9">
        <v>493</v>
      </c>
      <c r="C367" s="9">
        <v>605</v>
      </c>
      <c r="D367" s="9">
        <v>117</v>
      </c>
      <c r="E367" s="9">
        <v>1228</v>
      </c>
      <c r="F367" s="9">
        <v>1254</v>
      </c>
      <c r="G367" s="9">
        <v>1602</v>
      </c>
      <c r="H367" s="9">
        <v>2480</v>
      </c>
      <c r="I367" s="9">
        <v>1324</v>
      </c>
      <c r="J367" s="9">
        <v>2588</v>
      </c>
      <c r="K367" s="9">
        <v>1113</v>
      </c>
      <c r="L367" s="9">
        <v>1170</v>
      </c>
      <c r="M367" s="9">
        <v>3178</v>
      </c>
      <c r="N367" s="9">
        <v>0</v>
      </c>
      <c r="O367" s="9">
        <v>5549</v>
      </c>
      <c r="P367" s="9">
        <v>3317</v>
      </c>
      <c r="Q367" s="9">
        <v>1328</v>
      </c>
      <c r="R367" s="9">
        <v>1329</v>
      </c>
      <c r="S367" s="9">
        <v>872</v>
      </c>
      <c r="T367" s="9">
        <v>2836</v>
      </c>
      <c r="U367" s="9">
        <v>3221</v>
      </c>
      <c r="V367" s="108">
        <f t="shared" si="53"/>
        <v>35604</v>
      </c>
      <c r="W367" s="13" t="s">
        <v>569</v>
      </c>
      <c r="X367" s="9">
        <v>1542</v>
      </c>
      <c r="Y367" s="9">
        <v>1054</v>
      </c>
      <c r="Z367" s="108">
        <f t="shared" si="54"/>
        <v>2596</v>
      </c>
      <c r="AA367" s="98"/>
    </row>
    <row r="368" spans="1:27" ht="18" customHeight="1">
      <c r="A368" s="13" t="s">
        <v>570</v>
      </c>
      <c r="B368" s="9">
        <v>539</v>
      </c>
      <c r="C368" s="9">
        <v>667</v>
      </c>
      <c r="D368" s="9">
        <v>118</v>
      </c>
      <c r="E368" s="9">
        <v>1266</v>
      </c>
      <c r="F368" s="9">
        <v>1189</v>
      </c>
      <c r="G368" s="9">
        <v>1552</v>
      </c>
      <c r="H368" s="9">
        <v>2732</v>
      </c>
      <c r="I368" s="9">
        <v>1585</v>
      </c>
      <c r="J368" s="9">
        <v>2783</v>
      </c>
      <c r="K368" s="9">
        <v>1302</v>
      </c>
      <c r="L368" s="9">
        <v>2504</v>
      </c>
      <c r="M368" s="9">
        <v>3045</v>
      </c>
      <c r="N368" s="9">
        <v>0</v>
      </c>
      <c r="O368" s="9">
        <v>6341</v>
      </c>
      <c r="P368" s="9">
        <v>3506</v>
      </c>
      <c r="Q368" s="9">
        <v>3518</v>
      </c>
      <c r="R368" s="9">
        <v>1479</v>
      </c>
      <c r="S368" s="9">
        <v>969</v>
      </c>
      <c r="T368" s="9">
        <v>3110</v>
      </c>
      <c r="U368" s="9">
        <v>3210</v>
      </c>
      <c r="V368" s="108">
        <f t="shared" si="53"/>
        <v>41415</v>
      </c>
      <c r="W368" s="13" t="s">
        <v>570</v>
      </c>
      <c r="X368" s="9">
        <v>2721</v>
      </c>
      <c r="Y368" s="9">
        <v>3397</v>
      </c>
      <c r="Z368" s="108">
        <f t="shared" si="54"/>
        <v>6118</v>
      </c>
      <c r="AA368" s="98"/>
    </row>
    <row r="369" spans="1:27" ht="18" customHeight="1">
      <c r="A369" s="13" t="s">
        <v>571</v>
      </c>
      <c r="B369" s="9">
        <v>613</v>
      </c>
      <c r="C369" s="9">
        <v>744</v>
      </c>
      <c r="D369" s="9">
        <v>132</v>
      </c>
      <c r="E369" s="9">
        <v>1424</v>
      </c>
      <c r="F369" s="9">
        <v>1442</v>
      </c>
      <c r="G369" s="9">
        <v>1838</v>
      </c>
      <c r="H369" s="9">
        <v>3243</v>
      </c>
      <c r="I369" s="9">
        <v>1800</v>
      </c>
      <c r="J369" s="9">
        <v>3111</v>
      </c>
      <c r="K369" s="9">
        <v>1426</v>
      </c>
      <c r="L369" s="9">
        <v>2243</v>
      </c>
      <c r="M369" s="9">
        <v>3803</v>
      </c>
      <c r="N369" s="9">
        <v>0</v>
      </c>
      <c r="O369" s="9">
        <v>7283</v>
      </c>
      <c r="P369" s="9">
        <v>3818</v>
      </c>
      <c r="Q369" s="9">
        <v>3927</v>
      </c>
      <c r="R369" s="9">
        <v>1671</v>
      </c>
      <c r="S369" s="9">
        <v>1108</v>
      </c>
      <c r="T369" s="9">
        <v>3217</v>
      </c>
      <c r="U369" s="9">
        <v>3718</v>
      </c>
      <c r="V369" s="108">
        <f t="shared" si="53"/>
        <v>46561</v>
      </c>
      <c r="W369" s="13" t="s">
        <v>571</v>
      </c>
      <c r="X369" s="9">
        <v>2770</v>
      </c>
      <c r="Y369" s="9">
        <v>5490</v>
      </c>
      <c r="Z369" s="108">
        <f>X369+Y369</f>
        <v>8260</v>
      </c>
      <c r="AA369" s="98"/>
    </row>
    <row r="370" spans="1:27" ht="18" customHeight="1">
      <c r="A370" s="15" t="s">
        <v>74</v>
      </c>
      <c r="B370" s="14">
        <f aca="true" t="shared" si="55" ref="B370:V370">SUM(B358:B369)</f>
        <v>6205</v>
      </c>
      <c r="C370" s="14">
        <f t="shared" si="55"/>
        <v>7190</v>
      </c>
      <c r="D370" s="14">
        <f t="shared" si="55"/>
        <v>1249</v>
      </c>
      <c r="E370" s="14">
        <f t="shared" si="55"/>
        <v>14293</v>
      </c>
      <c r="F370" s="14">
        <f t="shared" si="55"/>
        <v>12588</v>
      </c>
      <c r="G370" s="14">
        <f t="shared" si="55"/>
        <v>16223</v>
      </c>
      <c r="H370" s="14">
        <f t="shared" si="55"/>
        <v>27396</v>
      </c>
      <c r="I370" s="14">
        <f t="shared" si="55"/>
        <v>15229</v>
      </c>
      <c r="J370" s="14">
        <f t="shared" si="55"/>
        <v>30790</v>
      </c>
      <c r="K370" s="14">
        <f t="shared" si="55"/>
        <v>10277</v>
      </c>
      <c r="L370" s="14">
        <f t="shared" si="55"/>
        <v>18197</v>
      </c>
      <c r="M370" s="14">
        <f t="shared" si="55"/>
        <v>33931</v>
      </c>
      <c r="N370" s="14">
        <f t="shared" si="55"/>
        <v>0</v>
      </c>
      <c r="O370" s="14">
        <f t="shared" si="55"/>
        <v>67632</v>
      </c>
      <c r="P370" s="14">
        <f t="shared" si="55"/>
        <v>38566</v>
      </c>
      <c r="Q370" s="14">
        <f t="shared" si="55"/>
        <v>33904</v>
      </c>
      <c r="R370" s="14">
        <f t="shared" si="55"/>
        <v>74858</v>
      </c>
      <c r="S370" s="14">
        <f t="shared" si="55"/>
        <v>9800</v>
      </c>
      <c r="T370" s="14">
        <f t="shared" si="55"/>
        <v>31614</v>
      </c>
      <c r="U370" s="14">
        <f t="shared" si="55"/>
        <v>32057</v>
      </c>
      <c r="V370" s="116">
        <f t="shared" si="55"/>
        <v>481999</v>
      </c>
      <c r="W370" s="9"/>
      <c r="X370" s="61">
        <f>SUM(X358:X369)</f>
        <v>40418</v>
      </c>
      <c r="Y370" s="61">
        <f>SUM(Y358:Y369)</f>
        <v>50213</v>
      </c>
      <c r="Z370" s="110">
        <f>SUM(X370:Y370)</f>
        <v>90631</v>
      </c>
      <c r="AA370" s="98"/>
    </row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</sheetData>
  <sheetProtection/>
  <mergeCells count="3">
    <mergeCell ref="A1:C1"/>
    <mergeCell ref="A89:C89"/>
    <mergeCell ref="A45:C45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B7">
      <selection activeCell="X23" sqref="X23"/>
    </sheetView>
  </sheetViews>
  <sheetFormatPr defaultColWidth="6.6328125" defaultRowHeight="15.75" customHeight="1"/>
  <cols>
    <col min="1" max="1" width="7.453125" style="0" bestFit="1" customWidth="1"/>
    <col min="2" max="2" width="5.2734375" style="0" bestFit="1" customWidth="1"/>
    <col min="3" max="4" width="4.2734375" style="0" bestFit="1" customWidth="1"/>
    <col min="5" max="5" width="4.8125" style="0" customWidth="1"/>
    <col min="6" max="6" width="3.8125" style="0" bestFit="1" customWidth="1"/>
    <col min="7" max="7" width="4.54296875" style="0" customWidth="1"/>
    <col min="8" max="8" width="4.2734375" style="0" bestFit="1" customWidth="1"/>
    <col min="9" max="9" width="4.90625" style="0" customWidth="1"/>
    <col min="10" max="10" width="3.8125" style="0" bestFit="1" customWidth="1"/>
    <col min="11" max="11" width="4.2734375" style="0" bestFit="1" customWidth="1"/>
    <col min="12" max="12" width="3.8125" style="0" bestFit="1" customWidth="1"/>
    <col min="13" max="14" width="4.99609375" style="0" bestFit="1" customWidth="1"/>
    <col min="15" max="15" width="5.6328125" style="0" bestFit="1" customWidth="1"/>
    <col min="16" max="16" width="5.90625" style="0" customWidth="1"/>
    <col min="17" max="17" width="4.2734375" style="0" bestFit="1" customWidth="1"/>
    <col min="18" max="18" width="5.0859375" style="0" customWidth="1"/>
    <col min="19" max="19" width="6.18359375" style="0" customWidth="1"/>
    <col min="20" max="20" width="12.453125" style="0" customWidth="1"/>
    <col min="21" max="21" width="7.453125" style="0" bestFit="1" customWidth="1"/>
    <col min="22" max="23" width="6.72265625" style="0" bestFit="1" customWidth="1"/>
    <col min="24" max="24" width="6.90625" style="0" bestFit="1" customWidth="1"/>
    <col min="25" max="25" width="3.8125" style="0" bestFit="1" customWidth="1"/>
  </cols>
  <sheetData>
    <row r="1" spans="1:25" ht="27" customHeight="1">
      <c r="A1" s="9" t="s">
        <v>18</v>
      </c>
      <c r="B1" s="9" t="s">
        <v>72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69</v>
      </c>
      <c r="P1" s="9" t="s">
        <v>15</v>
      </c>
      <c r="Q1" s="9" t="s">
        <v>16</v>
      </c>
      <c r="R1" s="9" t="s">
        <v>217</v>
      </c>
      <c r="S1" s="9" t="s">
        <v>218</v>
      </c>
      <c r="T1" s="107" t="s">
        <v>525</v>
      </c>
      <c r="U1" s="9" t="s">
        <v>18</v>
      </c>
      <c r="V1" s="9" t="s">
        <v>526</v>
      </c>
      <c r="W1" s="9" t="s">
        <v>527</v>
      </c>
      <c r="X1" s="107" t="s">
        <v>528</v>
      </c>
      <c r="Y1" s="9" t="s">
        <v>405</v>
      </c>
    </row>
    <row r="2" spans="1:25" ht="15.75" customHeight="1">
      <c r="A2" s="13" t="s">
        <v>601</v>
      </c>
      <c r="B2" s="9">
        <v>85</v>
      </c>
      <c r="C2" s="9">
        <v>2875</v>
      </c>
      <c r="D2" s="9">
        <v>428</v>
      </c>
      <c r="E2" s="9">
        <v>2348</v>
      </c>
      <c r="F2" s="9">
        <v>0</v>
      </c>
      <c r="G2" s="9">
        <v>1858</v>
      </c>
      <c r="H2" s="9">
        <v>377</v>
      </c>
      <c r="I2" s="9">
        <v>1101</v>
      </c>
      <c r="J2" s="9">
        <v>328</v>
      </c>
      <c r="K2" s="9">
        <v>539</v>
      </c>
      <c r="L2" s="9">
        <v>160</v>
      </c>
      <c r="M2" s="9">
        <v>3762</v>
      </c>
      <c r="N2" s="9">
        <v>1825</v>
      </c>
      <c r="O2" s="9">
        <v>0</v>
      </c>
      <c r="P2" s="9">
        <v>1348</v>
      </c>
      <c r="Q2" s="9">
        <v>692</v>
      </c>
      <c r="R2" s="9">
        <v>1608</v>
      </c>
      <c r="S2" s="9">
        <v>1838</v>
      </c>
      <c r="T2" s="108">
        <f aca="true" t="shared" si="0" ref="T2:T13">SUM(B2:S2)</f>
        <v>21172</v>
      </c>
      <c r="U2" s="13" t="s">
        <v>601</v>
      </c>
      <c r="V2" s="9">
        <v>2408</v>
      </c>
      <c r="W2" s="9">
        <v>1139</v>
      </c>
      <c r="X2" s="109">
        <f>SUM(V2:W2)</f>
        <v>3547</v>
      </c>
      <c r="Y2" s="98" t="s">
        <v>454</v>
      </c>
    </row>
    <row r="3" spans="1:25" ht="15.75" customHeight="1">
      <c r="A3" s="13" t="s">
        <v>590</v>
      </c>
      <c r="B3" s="9">
        <v>60</v>
      </c>
      <c r="C3" s="54">
        <v>0</v>
      </c>
      <c r="D3" s="9">
        <v>229</v>
      </c>
      <c r="E3" s="9">
        <v>2002</v>
      </c>
      <c r="F3" s="9">
        <v>0</v>
      </c>
      <c r="G3" s="9">
        <v>449</v>
      </c>
      <c r="H3" s="9">
        <v>616</v>
      </c>
      <c r="I3" s="9">
        <v>629</v>
      </c>
      <c r="J3" s="9">
        <v>204</v>
      </c>
      <c r="K3" s="9">
        <v>404</v>
      </c>
      <c r="L3" s="9">
        <v>72</v>
      </c>
      <c r="M3" s="9">
        <v>0</v>
      </c>
      <c r="N3" s="9">
        <v>1432</v>
      </c>
      <c r="O3" s="9">
        <v>0</v>
      </c>
      <c r="P3" s="9">
        <v>921</v>
      </c>
      <c r="Q3" s="9">
        <v>380</v>
      </c>
      <c r="R3" s="9">
        <v>3272</v>
      </c>
      <c r="S3" s="9">
        <v>1652</v>
      </c>
      <c r="T3" s="108">
        <f t="shared" si="0"/>
        <v>12322</v>
      </c>
      <c r="U3" s="13" t="s">
        <v>590</v>
      </c>
      <c r="V3" s="9">
        <v>3954</v>
      </c>
      <c r="W3" s="9">
        <v>1894</v>
      </c>
      <c r="X3" s="109">
        <f aca="true" t="shared" si="1" ref="X3:X13">SUM(V3:W3)</f>
        <v>5848</v>
      </c>
      <c r="Y3" s="98" t="s">
        <v>454</v>
      </c>
    </row>
    <row r="4" spans="1:25" ht="15.75" customHeight="1">
      <c r="A4" s="13" t="s">
        <v>591</v>
      </c>
      <c r="B4" s="9">
        <v>81</v>
      </c>
      <c r="C4" s="54">
        <v>0</v>
      </c>
      <c r="D4" s="9">
        <v>532</v>
      </c>
      <c r="E4" s="9">
        <v>2983</v>
      </c>
      <c r="F4" s="9">
        <v>0</v>
      </c>
      <c r="G4" s="9">
        <v>3696</v>
      </c>
      <c r="H4" s="9">
        <v>950</v>
      </c>
      <c r="I4" s="9">
        <v>1398</v>
      </c>
      <c r="J4" s="9">
        <v>415</v>
      </c>
      <c r="K4" s="9">
        <v>1044</v>
      </c>
      <c r="L4" s="9">
        <v>115</v>
      </c>
      <c r="M4" s="9">
        <v>4016</v>
      </c>
      <c r="N4" s="9">
        <v>3841</v>
      </c>
      <c r="O4" s="9">
        <v>897</v>
      </c>
      <c r="P4" s="9">
        <v>668</v>
      </c>
      <c r="Q4" s="9">
        <v>795</v>
      </c>
      <c r="R4" s="9">
        <v>2431</v>
      </c>
      <c r="S4" s="9">
        <v>2540</v>
      </c>
      <c r="T4" s="108">
        <f t="shared" si="0"/>
        <v>26402</v>
      </c>
      <c r="U4" s="13" t="s">
        <v>591</v>
      </c>
      <c r="V4" s="9">
        <v>1126</v>
      </c>
      <c r="W4" s="9">
        <v>2267</v>
      </c>
      <c r="X4" s="109">
        <f t="shared" si="1"/>
        <v>3393</v>
      </c>
      <c r="Y4" s="98" t="s">
        <v>454</v>
      </c>
    </row>
    <row r="5" spans="1:25" ht="15.75" customHeight="1">
      <c r="A5" s="13" t="s">
        <v>592</v>
      </c>
      <c r="B5" s="9">
        <v>74</v>
      </c>
      <c r="C5" s="9">
        <v>0</v>
      </c>
      <c r="D5" s="9">
        <v>431</v>
      </c>
      <c r="E5" s="9">
        <v>2397</v>
      </c>
      <c r="F5" s="9">
        <v>0</v>
      </c>
      <c r="G5" s="9">
        <v>2432</v>
      </c>
      <c r="H5" s="9">
        <v>913</v>
      </c>
      <c r="I5" s="9">
        <v>1349</v>
      </c>
      <c r="J5" s="9">
        <v>382</v>
      </c>
      <c r="K5" s="9">
        <v>911</v>
      </c>
      <c r="L5" s="9">
        <v>195</v>
      </c>
      <c r="M5" s="9">
        <v>2851</v>
      </c>
      <c r="N5" s="9">
        <v>3243</v>
      </c>
      <c r="O5" s="9">
        <v>1844</v>
      </c>
      <c r="P5" s="9">
        <v>1779</v>
      </c>
      <c r="Q5" s="9">
        <v>717</v>
      </c>
      <c r="R5" s="9">
        <v>2148</v>
      </c>
      <c r="S5" s="9">
        <v>2492</v>
      </c>
      <c r="T5" s="108">
        <f t="shared" si="0"/>
        <v>24158</v>
      </c>
      <c r="U5" s="13" t="s">
        <v>592</v>
      </c>
      <c r="V5" s="9">
        <v>2947</v>
      </c>
      <c r="W5" s="9">
        <v>4981</v>
      </c>
      <c r="X5" s="109">
        <f t="shared" si="1"/>
        <v>7928</v>
      </c>
      <c r="Y5" s="98" t="s">
        <v>454</v>
      </c>
    </row>
    <row r="6" spans="1:25" ht="15.75" customHeight="1">
      <c r="A6" s="13" t="s">
        <v>593</v>
      </c>
      <c r="B6" s="9">
        <v>73</v>
      </c>
      <c r="C6" s="9">
        <v>0</v>
      </c>
      <c r="D6" s="9">
        <v>463</v>
      </c>
      <c r="E6" s="9">
        <v>3145</v>
      </c>
      <c r="F6" s="9">
        <v>0</v>
      </c>
      <c r="G6" s="9">
        <v>2844</v>
      </c>
      <c r="H6" s="9">
        <v>990</v>
      </c>
      <c r="I6" s="9">
        <v>1702</v>
      </c>
      <c r="J6" s="9">
        <v>372</v>
      </c>
      <c r="K6" s="9">
        <v>872</v>
      </c>
      <c r="L6" s="9">
        <v>227</v>
      </c>
      <c r="M6" s="9">
        <v>2851</v>
      </c>
      <c r="N6" s="9">
        <v>3133</v>
      </c>
      <c r="O6" s="9">
        <v>1961</v>
      </c>
      <c r="P6" s="9">
        <v>2140</v>
      </c>
      <c r="Q6" s="9">
        <v>864</v>
      </c>
      <c r="R6" s="9">
        <v>2336</v>
      </c>
      <c r="S6" s="9">
        <v>2484</v>
      </c>
      <c r="T6" s="108">
        <f t="shared" si="0"/>
        <v>26457</v>
      </c>
      <c r="U6" s="13" t="s">
        <v>593</v>
      </c>
      <c r="V6" s="9">
        <v>2790</v>
      </c>
      <c r="W6" s="9">
        <v>4281</v>
      </c>
      <c r="X6" s="109">
        <f t="shared" si="1"/>
        <v>7071</v>
      </c>
      <c r="Y6" s="98" t="s">
        <v>454</v>
      </c>
    </row>
    <row r="7" spans="1:25" ht="15.75" customHeight="1">
      <c r="A7" s="13" t="s">
        <v>594</v>
      </c>
      <c r="B7" s="9">
        <v>72</v>
      </c>
      <c r="C7" s="9">
        <v>0</v>
      </c>
      <c r="D7" s="9">
        <v>407</v>
      </c>
      <c r="E7" s="9">
        <v>1910</v>
      </c>
      <c r="F7" s="9">
        <v>0</v>
      </c>
      <c r="G7" s="9">
        <v>2349</v>
      </c>
      <c r="H7" s="9">
        <v>885</v>
      </c>
      <c r="I7" s="9">
        <v>1128</v>
      </c>
      <c r="J7" s="9">
        <v>367</v>
      </c>
      <c r="K7" s="9">
        <v>741</v>
      </c>
      <c r="L7" s="9">
        <v>177</v>
      </c>
      <c r="M7" s="9">
        <v>5641</v>
      </c>
      <c r="N7" s="9">
        <v>2605</v>
      </c>
      <c r="O7" s="9">
        <v>858</v>
      </c>
      <c r="P7" s="9">
        <v>1661</v>
      </c>
      <c r="Q7" s="9">
        <v>731</v>
      </c>
      <c r="R7" s="9">
        <v>2063</v>
      </c>
      <c r="S7" s="9">
        <v>2070</v>
      </c>
      <c r="T7" s="108">
        <f t="shared" si="0"/>
        <v>23665</v>
      </c>
      <c r="U7" s="13" t="s">
        <v>594</v>
      </c>
      <c r="V7" s="9">
        <v>3072</v>
      </c>
      <c r="W7" s="9">
        <v>4537</v>
      </c>
      <c r="X7" s="109">
        <f t="shared" si="1"/>
        <v>7609</v>
      </c>
      <c r="Y7" s="98" t="s">
        <v>454</v>
      </c>
    </row>
    <row r="8" spans="1:25" ht="15.75" customHeight="1">
      <c r="A8" s="13" t="s">
        <v>595</v>
      </c>
      <c r="B8" s="9">
        <v>70</v>
      </c>
      <c r="C8" s="9">
        <v>0</v>
      </c>
      <c r="D8" s="9">
        <v>215</v>
      </c>
      <c r="E8" s="9">
        <v>295</v>
      </c>
      <c r="F8" s="9">
        <v>0</v>
      </c>
      <c r="G8" s="9">
        <v>1343</v>
      </c>
      <c r="H8" s="9">
        <v>331</v>
      </c>
      <c r="I8" s="9">
        <v>170</v>
      </c>
      <c r="J8" s="9">
        <v>187</v>
      </c>
      <c r="K8" s="9">
        <v>108</v>
      </c>
      <c r="L8" s="9">
        <v>141</v>
      </c>
      <c r="M8" s="9">
        <v>5059</v>
      </c>
      <c r="N8" s="9">
        <v>658</v>
      </c>
      <c r="O8" s="9">
        <v>627</v>
      </c>
      <c r="P8" s="9">
        <v>797</v>
      </c>
      <c r="Q8" s="9">
        <v>514</v>
      </c>
      <c r="R8" s="9">
        <v>1735</v>
      </c>
      <c r="S8" s="9">
        <v>1515</v>
      </c>
      <c r="T8" s="108">
        <f t="shared" si="0"/>
        <v>13765</v>
      </c>
      <c r="U8" s="13" t="s">
        <v>595</v>
      </c>
      <c r="V8" s="9">
        <v>2972</v>
      </c>
      <c r="W8" s="9">
        <v>4384</v>
      </c>
      <c r="X8" s="109">
        <f t="shared" si="1"/>
        <v>7356</v>
      </c>
      <c r="Y8" s="98" t="s">
        <v>454</v>
      </c>
    </row>
    <row r="9" spans="1:25" ht="15.75" customHeight="1">
      <c r="A9" s="13" t="s">
        <v>596</v>
      </c>
      <c r="B9" s="9">
        <v>69</v>
      </c>
      <c r="C9" s="9">
        <v>0</v>
      </c>
      <c r="D9" s="9">
        <v>200</v>
      </c>
      <c r="E9" s="9">
        <v>581</v>
      </c>
      <c r="F9" s="9">
        <v>0</v>
      </c>
      <c r="G9" s="9">
        <v>1384</v>
      </c>
      <c r="H9" s="9">
        <v>155</v>
      </c>
      <c r="I9" s="9">
        <v>400</v>
      </c>
      <c r="J9" s="9">
        <v>185</v>
      </c>
      <c r="K9" s="9">
        <v>51</v>
      </c>
      <c r="L9" s="9">
        <v>118</v>
      </c>
      <c r="M9" s="9">
        <v>5000</v>
      </c>
      <c r="N9" s="9">
        <v>436</v>
      </c>
      <c r="O9" s="9">
        <v>627</v>
      </c>
      <c r="P9" s="9">
        <v>778</v>
      </c>
      <c r="Q9" s="9">
        <v>453</v>
      </c>
      <c r="R9" s="9">
        <v>1642</v>
      </c>
      <c r="S9" s="9">
        <v>1715</v>
      </c>
      <c r="T9" s="108">
        <f t="shared" si="0"/>
        <v>13794</v>
      </c>
      <c r="U9" s="13" t="s">
        <v>596</v>
      </c>
      <c r="V9" s="9">
        <v>1592</v>
      </c>
      <c r="W9" s="9">
        <v>1942</v>
      </c>
      <c r="X9" s="109">
        <f t="shared" si="1"/>
        <v>3534</v>
      </c>
      <c r="Y9" s="98" t="s">
        <v>454</v>
      </c>
    </row>
    <row r="10" spans="1:25" ht="15.75" customHeight="1">
      <c r="A10" s="13" t="s">
        <v>597</v>
      </c>
      <c r="B10" s="9">
        <v>69</v>
      </c>
      <c r="C10" s="9">
        <v>0</v>
      </c>
      <c r="D10" s="9">
        <v>308</v>
      </c>
      <c r="E10" s="9">
        <v>2333</v>
      </c>
      <c r="F10" s="9">
        <v>0</v>
      </c>
      <c r="G10" s="9">
        <v>2440</v>
      </c>
      <c r="H10" s="9">
        <v>749</v>
      </c>
      <c r="I10" s="9">
        <v>1370</v>
      </c>
      <c r="J10" s="9">
        <v>328</v>
      </c>
      <c r="K10" s="9">
        <v>739</v>
      </c>
      <c r="L10" s="9">
        <v>198</v>
      </c>
      <c r="M10" s="9">
        <v>5560</v>
      </c>
      <c r="N10" s="9">
        <v>630</v>
      </c>
      <c r="O10" s="9">
        <v>1782</v>
      </c>
      <c r="P10" s="9">
        <v>1663</v>
      </c>
      <c r="Q10" s="9">
        <v>676</v>
      </c>
      <c r="R10" s="9">
        <v>1858</v>
      </c>
      <c r="S10" s="9">
        <v>2307</v>
      </c>
      <c r="T10" s="108">
        <f t="shared" si="0"/>
        <v>23010</v>
      </c>
      <c r="U10" s="13" t="s">
        <v>597</v>
      </c>
      <c r="V10" s="9">
        <v>1344</v>
      </c>
      <c r="W10" s="9">
        <v>1143</v>
      </c>
      <c r="X10" s="109">
        <f t="shared" si="1"/>
        <v>2487</v>
      </c>
      <c r="Y10" s="98" t="s">
        <v>454</v>
      </c>
    </row>
    <row r="11" spans="1:25" ht="15.75" customHeight="1">
      <c r="A11" s="13" t="s">
        <v>598</v>
      </c>
      <c r="B11" s="9">
        <v>83</v>
      </c>
      <c r="C11" s="9">
        <v>0</v>
      </c>
      <c r="D11" s="9">
        <v>427</v>
      </c>
      <c r="E11" s="9">
        <v>3242</v>
      </c>
      <c r="F11" s="9">
        <v>0</v>
      </c>
      <c r="G11" s="9">
        <v>3076</v>
      </c>
      <c r="H11" s="9">
        <v>952</v>
      </c>
      <c r="I11" s="9">
        <v>1453</v>
      </c>
      <c r="J11" s="9">
        <v>422</v>
      </c>
      <c r="K11" s="9">
        <v>500</v>
      </c>
      <c r="L11" s="9">
        <v>222</v>
      </c>
      <c r="M11" s="9">
        <v>7860</v>
      </c>
      <c r="N11" s="9">
        <v>355</v>
      </c>
      <c r="O11" s="9">
        <v>1350</v>
      </c>
      <c r="P11" s="9">
        <v>1988</v>
      </c>
      <c r="Q11" s="9">
        <v>1214</v>
      </c>
      <c r="R11" s="9">
        <v>1858</v>
      </c>
      <c r="S11" s="9">
        <v>2584</v>
      </c>
      <c r="T11" s="108">
        <f t="shared" si="0"/>
        <v>27586</v>
      </c>
      <c r="U11" s="13" t="s">
        <v>598</v>
      </c>
      <c r="V11" s="9">
        <v>1952</v>
      </c>
      <c r="W11" s="9">
        <v>3026</v>
      </c>
      <c r="X11" s="109">
        <f t="shared" si="1"/>
        <v>4978</v>
      </c>
      <c r="Y11" s="98" t="s">
        <v>454</v>
      </c>
    </row>
    <row r="12" spans="1:25" ht="15.75" customHeight="1">
      <c r="A12" s="13" t="s">
        <v>599</v>
      </c>
      <c r="B12" s="9">
        <v>88</v>
      </c>
      <c r="C12" s="9">
        <v>0</v>
      </c>
      <c r="D12" s="9">
        <v>456</v>
      </c>
      <c r="E12" s="9">
        <v>2521</v>
      </c>
      <c r="F12" s="9">
        <v>0</v>
      </c>
      <c r="G12" s="9">
        <v>2993</v>
      </c>
      <c r="H12" s="9">
        <v>949</v>
      </c>
      <c r="I12" s="9">
        <v>1260</v>
      </c>
      <c r="J12" s="9">
        <v>446</v>
      </c>
      <c r="K12" s="9">
        <v>408</v>
      </c>
      <c r="L12" s="9">
        <v>229</v>
      </c>
      <c r="M12" s="9">
        <v>6194</v>
      </c>
      <c r="N12" s="9">
        <v>1364</v>
      </c>
      <c r="O12" s="9">
        <v>1936</v>
      </c>
      <c r="P12" s="9">
        <v>2069</v>
      </c>
      <c r="Q12" s="9">
        <v>911</v>
      </c>
      <c r="R12" s="9">
        <v>1972</v>
      </c>
      <c r="S12" s="9">
        <v>2418</v>
      </c>
      <c r="T12" s="108">
        <f t="shared" si="0"/>
        <v>26214</v>
      </c>
      <c r="U12" s="13" t="s">
        <v>599</v>
      </c>
      <c r="V12" s="9">
        <v>3678</v>
      </c>
      <c r="W12" s="9">
        <v>5920</v>
      </c>
      <c r="X12" s="109">
        <f t="shared" si="1"/>
        <v>9598</v>
      </c>
      <c r="Y12" s="98" t="s">
        <v>454</v>
      </c>
    </row>
    <row r="13" spans="1:25" ht="15.75" customHeight="1">
      <c r="A13" s="13" t="s">
        <v>600</v>
      </c>
      <c r="B13" s="54">
        <v>95</v>
      </c>
      <c r="C13" s="54">
        <v>0</v>
      </c>
      <c r="D13" s="54">
        <v>524</v>
      </c>
      <c r="E13" s="54">
        <v>3409</v>
      </c>
      <c r="F13" s="54">
        <v>0</v>
      </c>
      <c r="G13" s="54">
        <v>3614</v>
      </c>
      <c r="H13" s="54">
        <v>978</v>
      </c>
      <c r="I13" s="54">
        <v>1213</v>
      </c>
      <c r="J13" s="54">
        <v>487</v>
      </c>
      <c r="K13" s="54">
        <v>1100</v>
      </c>
      <c r="L13" s="54">
        <v>248</v>
      </c>
      <c r="M13" s="54">
        <v>5790</v>
      </c>
      <c r="N13" s="54">
        <v>3077</v>
      </c>
      <c r="O13" s="54">
        <v>2211</v>
      </c>
      <c r="P13" s="54">
        <v>2216</v>
      </c>
      <c r="Q13" s="54">
        <v>960</v>
      </c>
      <c r="R13" s="54">
        <v>2196</v>
      </c>
      <c r="S13" s="54">
        <v>2770</v>
      </c>
      <c r="T13" s="108">
        <f t="shared" si="0"/>
        <v>30888</v>
      </c>
      <c r="U13" s="13" t="s">
        <v>600</v>
      </c>
      <c r="V13" s="9">
        <v>3275</v>
      </c>
      <c r="W13" s="9">
        <v>5702</v>
      </c>
      <c r="X13" s="109">
        <f t="shared" si="1"/>
        <v>8977</v>
      </c>
      <c r="Y13" s="98" t="s">
        <v>454</v>
      </c>
    </row>
    <row r="14" spans="1:25" ht="15.75" customHeight="1">
      <c r="A14" s="43" t="s">
        <v>74</v>
      </c>
      <c r="B14" s="61">
        <f aca="true" t="shared" si="2" ref="B14:S14">SUM(B1:B13)</f>
        <v>919</v>
      </c>
      <c r="C14" s="61">
        <f t="shared" si="2"/>
        <v>2875</v>
      </c>
      <c r="D14" s="61">
        <f t="shared" si="2"/>
        <v>4620</v>
      </c>
      <c r="E14" s="61">
        <f t="shared" si="2"/>
        <v>27166</v>
      </c>
      <c r="F14" s="61">
        <f t="shared" si="2"/>
        <v>0</v>
      </c>
      <c r="G14" s="61">
        <f t="shared" si="2"/>
        <v>28478</v>
      </c>
      <c r="H14" s="61">
        <f t="shared" si="2"/>
        <v>8845</v>
      </c>
      <c r="I14" s="61">
        <f t="shared" si="2"/>
        <v>13173</v>
      </c>
      <c r="J14" s="61">
        <f t="shared" si="2"/>
        <v>4123</v>
      </c>
      <c r="K14" s="61">
        <f t="shared" si="2"/>
        <v>7417</v>
      </c>
      <c r="L14" s="61">
        <f t="shared" si="2"/>
        <v>2102</v>
      </c>
      <c r="M14" s="61">
        <f t="shared" si="2"/>
        <v>54584</v>
      </c>
      <c r="N14" s="61">
        <f t="shared" si="2"/>
        <v>22599</v>
      </c>
      <c r="O14" s="61">
        <f t="shared" si="2"/>
        <v>14093</v>
      </c>
      <c r="P14" s="61">
        <f t="shared" si="2"/>
        <v>18028</v>
      </c>
      <c r="Q14" s="61">
        <f t="shared" si="2"/>
        <v>8907</v>
      </c>
      <c r="R14" s="61">
        <f t="shared" si="2"/>
        <v>25119</v>
      </c>
      <c r="S14" s="61">
        <f t="shared" si="2"/>
        <v>26385</v>
      </c>
      <c r="T14" s="110">
        <f>SUM(T1:T13)</f>
        <v>269433</v>
      </c>
      <c r="U14" s="9"/>
      <c r="V14" s="61">
        <f>SUM(V2:V13)</f>
        <v>31110</v>
      </c>
      <c r="W14" s="61">
        <f>SUM(W2:W13)</f>
        <v>41216</v>
      </c>
      <c r="X14" s="110">
        <f>SUM(V14:W14)</f>
        <v>72326</v>
      </c>
      <c r="Y14" s="98"/>
    </row>
    <row r="17" spans="1:25" ht="27" customHeight="1">
      <c r="A17" s="9" t="s">
        <v>18</v>
      </c>
      <c r="B17" s="9" t="s">
        <v>72</v>
      </c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8</v>
      </c>
      <c r="J17" s="9" t="s">
        <v>9</v>
      </c>
      <c r="K17" s="9" t="s">
        <v>10</v>
      </c>
      <c r="L17" s="9" t="s">
        <v>11</v>
      </c>
      <c r="M17" s="9" t="s">
        <v>12</v>
      </c>
      <c r="N17" s="9" t="s">
        <v>13</v>
      </c>
      <c r="O17" s="9" t="s">
        <v>69</v>
      </c>
      <c r="P17" s="9" t="s">
        <v>15</v>
      </c>
      <c r="Q17" s="9" t="s">
        <v>16</v>
      </c>
      <c r="R17" s="9" t="s">
        <v>217</v>
      </c>
      <c r="S17" s="9" t="s">
        <v>218</v>
      </c>
      <c r="T17" s="107" t="s">
        <v>525</v>
      </c>
      <c r="U17" s="9" t="s">
        <v>18</v>
      </c>
      <c r="V17" s="9" t="s">
        <v>526</v>
      </c>
      <c r="W17" s="9" t="s">
        <v>527</v>
      </c>
      <c r="X17" s="107" t="s">
        <v>528</v>
      </c>
      <c r="Y17" s="9" t="s">
        <v>405</v>
      </c>
    </row>
    <row r="18" spans="1:25" ht="15.75" customHeight="1">
      <c r="A18" s="13" t="s">
        <v>602</v>
      </c>
      <c r="B18" s="9">
        <v>68</v>
      </c>
      <c r="C18" s="9">
        <v>0</v>
      </c>
      <c r="D18" s="9">
        <v>270</v>
      </c>
      <c r="E18" s="9">
        <v>1577</v>
      </c>
      <c r="F18" s="9">
        <v>0</v>
      </c>
      <c r="G18" s="9">
        <v>1662</v>
      </c>
      <c r="H18" s="9">
        <v>372</v>
      </c>
      <c r="I18" s="9">
        <v>1087</v>
      </c>
      <c r="J18" s="9">
        <v>220</v>
      </c>
      <c r="K18" s="9">
        <v>1379</v>
      </c>
      <c r="L18" s="9">
        <v>86</v>
      </c>
      <c r="M18" s="9">
        <v>3762</v>
      </c>
      <c r="N18" s="9">
        <v>2166</v>
      </c>
      <c r="O18" s="9">
        <v>1080</v>
      </c>
      <c r="P18" s="9">
        <v>927</v>
      </c>
      <c r="Q18" s="9">
        <v>495</v>
      </c>
      <c r="R18" s="9">
        <v>1830</v>
      </c>
      <c r="S18" s="9">
        <v>1533</v>
      </c>
      <c r="T18" s="108">
        <f aca="true" t="shared" si="3" ref="T18:T29">SUM(B18:S18)</f>
        <v>18514</v>
      </c>
      <c r="U18" s="13" t="s">
        <v>602</v>
      </c>
      <c r="V18" s="9">
        <v>2921</v>
      </c>
      <c r="W18" s="9">
        <v>5391</v>
      </c>
      <c r="X18" s="109">
        <f>SUM(V18:W18)</f>
        <v>8312</v>
      </c>
      <c r="Y18" s="98" t="s">
        <v>454</v>
      </c>
    </row>
    <row r="19" spans="1:25" ht="15.75" customHeight="1">
      <c r="A19" s="13" t="s">
        <v>603</v>
      </c>
      <c r="B19" s="9">
        <v>65</v>
      </c>
      <c r="C19" s="54">
        <v>0</v>
      </c>
      <c r="D19" s="9">
        <v>149</v>
      </c>
      <c r="E19" s="9">
        <v>881</v>
      </c>
      <c r="F19" s="9">
        <v>0</v>
      </c>
      <c r="G19" s="9">
        <v>1150</v>
      </c>
      <c r="H19" s="9">
        <v>79</v>
      </c>
      <c r="I19" s="9">
        <v>1150</v>
      </c>
      <c r="J19" s="9">
        <v>130</v>
      </c>
      <c r="K19" s="9">
        <v>650</v>
      </c>
      <c r="L19" s="9">
        <v>129</v>
      </c>
      <c r="M19" s="9">
        <v>0</v>
      </c>
      <c r="N19" s="9">
        <v>1620</v>
      </c>
      <c r="O19" s="9">
        <v>1080</v>
      </c>
      <c r="P19" s="9">
        <v>649</v>
      </c>
      <c r="Q19" s="9">
        <v>325</v>
      </c>
      <c r="R19" s="9">
        <v>1733</v>
      </c>
      <c r="S19" s="9">
        <v>1336</v>
      </c>
      <c r="T19" s="108">
        <f t="shared" si="3"/>
        <v>11126</v>
      </c>
      <c r="U19" s="13" t="s">
        <v>603</v>
      </c>
      <c r="V19" s="9">
        <v>2717</v>
      </c>
      <c r="W19" s="9">
        <v>5207</v>
      </c>
      <c r="X19" s="109">
        <f aca="true" t="shared" si="4" ref="X19:X29">SUM(V19:W19)</f>
        <v>7924</v>
      </c>
      <c r="Y19" s="98" t="s">
        <v>454</v>
      </c>
    </row>
    <row r="20" spans="1:25" ht="15.75" customHeight="1">
      <c r="A20" s="13" t="s">
        <v>604</v>
      </c>
      <c r="B20" s="9">
        <v>88</v>
      </c>
      <c r="C20" s="54">
        <v>5</v>
      </c>
      <c r="D20" s="9">
        <v>471</v>
      </c>
      <c r="E20" s="9">
        <v>2805</v>
      </c>
      <c r="F20" s="9">
        <v>0</v>
      </c>
      <c r="G20" s="9">
        <v>2821</v>
      </c>
      <c r="H20" s="9">
        <v>1028</v>
      </c>
      <c r="I20" s="9">
        <v>1488</v>
      </c>
      <c r="J20" s="9">
        <v>490</v>
      </c>
      <c r="K20" s="9">
        <v>884</v>
      </c>
      <c r="L20" s="9">
        <v>220</v>
      </c>
      <c r="M20" s="9">
        <v>0</v>
      </c>
      <c r="N20" s="9">
        <v>2071</v>
      </c>
      <c r="O20" s="9">
        <v>2230</v>
      </c>
      <c r="P20" s="9">
        <v>1910</v>
      </c>
      <c r="Q20" s="9">
        <v>809</v>
      </c>
      <c r="R20" s="9">
        <v>1857</v>
      </c>
      <c r="S20" s="9">
        <v>2627</v>
      </c>
      <c r="T20" s="108">
        <f t="shared" si="3"/>
        <v>21804</v>
      </c>
      <c r="U20" s="13" t="s">
        <v>604</v>
      </c>
      <c r="V20" s="9">
        <v>979</v>
      </c>
      <c r="W20" s="9">
        <v>3300</v>
      </c>
      <c r="X20" s="109">
        <f t="shared" si="4"/>
        <v>4279</v>
      </c>
      <c r="Y20" s="98" t="s">
        <v>454</v>
      </c>
    </row>
    <row r="21" spans="1:25" ht="15.75" customHeight="1">
      <c r="A21" s="13" t="s">
        <v>605</v>
      </c>
      <c r="B21" s="9">
        <v>79</v>
      </c>
      <c r="C21" s="9">
        <v>112</v>
      </c>
      <c r="D21" s="9">
        <v>404</v>
      </c>
      <c r="E21" s="9">
        <v>2654</v>
      </c>
      <c r="F21" s="9">
        <v>0</v>
      </c>
      <c r="G21" s="9">
        <v>2875</v>
      </c>
      <c r="H21" s="9">
        <v>838</v>
      </c>
      <c r="I21" s="9">
        <v>1373</v>
      </c>
      <c r="J21" s="9">
        <v>459</v>
      </c>
      <c r="K21" s="9">
        <v>1300</v>
      </c>
      <c r="L21" s="9">
        <v>295</v>
      </c>
      <c r="M21" s="9">
        <v>0</v>
      </c>
      <c r="N21" s="9">
        <v>2652</v>
      </c>
      <c r="O21" s="9">
        <v>1669</v>
      </c>
      <c r="P21" s="9">
        <v>1657</v>
      </c>
      <c r="Q21" s="9">
        <v>733</v>
      </c>
      <c r="R21" s="9">
        <v>1804</v>
      </c>
      <c r="S21" s="9">
        <v>2524</v>
      </c>
      <c r="T21" s="108">
        <f t="shared" si="3"/>
        <v>21428</v>
      </c>
      <c r="U21" s="13" t="s">
        <v>605</v>
      </c>
      <c r="V21" s="9">
        <v>3589</v>
      </c>
      <c r="W21" s="9">
        <v>5594</v>
      </c>
      <c r="X21" s="109">
        <f t="shared" si="4"/>
        <v>9183</v>
      </c>
      <c r="Y21" s="98" t="s">
        <v>454</v>
      </c>
    </row>
    <row r="22" spans="1:25" ht="15.75" customHeight="1">
      <c r="A22" s="13" t="s">
        <v>606</v>
      </c>
      <c r="B22" s="9">
        <v>77</v>
      </c>
      <c r="C22" s="9">
        <v>120</v>
      </c>
      <c r="D22" s="9">
        <v>378</v>
      </c>
      <c r="E22" s="9">
        <v>2464</v>
      </c>
      <c r="F22" s="9">
        <v>0</v>
      </c>
      <c r="G22" s="9">
        <v>2875</v>
      </c>
      <c r="H22" s="9">
        <v>818</v>
      </c>
      <c r="I22" s="9">
        <v>1157</v>
      </c>
      <c r="J22" s="9">
        <v>442</v>
      </c>
      <c r="K22" s="9">
        <v>716</v>
      </c>
      <c r="L22" s="9">
        <v>267</v>
      </c>
      <c r="M22" s="9">
        <v>9700</v>
      </c>
      <c r="N22" s="9">
        <v>3319</v>
      </c>
      <c r="O22" s="9">
        <v>1978</v>
      </c>
      <c r="P22" s="9">
        <v>1650</v>
      </c>
      <c r="Q22" s="9">
        <v>766</v>
      </c>
      <c r="R22" s="9">
        <v>1862</v>
      </c>
      <c r="S22" s="9">
        <v>2087</v>
      </c>
      <c r="T22" s="108">
        <f t="shared" si="3"/>
        <v>30676</v>
      </c>
      <c r="U22" s="13" t="s">
        <v>606</v>
      </c>
      <c r="V22" s="9">
        <v>3277</v>
      </c>
      <c r="W22" s="9">
        <v>5936</v>
      </c>
      <c r="X22" s="109">
        <f t="shared" si="4"/>
        <v>9213</v>
      </c>
      <c r="Y22" s="98" t="s">
        <v>454</v>
      </c>
    </row>
    <row r="23" spans="1:25" ht="15.75" customHeight="1">
      <c r="A23" s="13" t="s">
        <v>607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8">
        <f t="shared" si="3"/>
        <v>0</v>
      </c>
      <c r="U23" s="13" t="s">
        <v>607</v>
      </c>
      <c r="V23" s="9">
        <v>2987</v>
      </c>
      <c r="W23" s="9">
        <v>5727</v>
      </c>
      <c r="X23" s="109">
        <f t="shared" si="4"/>
        <v>8714</v>
      </c>
      <c r="Y23" s="98" t="s">
        <v>454</v>
      </c>
    </row>
    <row r="24" spans="1:25" ht="15.75" customHeight="1">
      <c r="A24" s="13" t="s">
        <v>608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8">
        <f t="shared" si="3"/>
        <v>0</v>
      </c>
      <c r="U24" s="13" t="s">
        <v>608</v>
      </c>
      <c r="V24" s="9"/>
      <c r="W24" s="9"/>
      <c r="X24" s="109">
        <f t="shared" si="4"/>
        <v>0</v>
      </c>
      <c r="Y24" s="98" t="s">
        <v>454</v>
      </c>
    </row>
    <row r="25" spans="1:25" ht="15.75" customHeight="1">
      <c r="A25" s="13" t="s">
        <v>609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8">
        <f t="shared" si="3"/>
        <v>0</v>
      </c>
      <c r="U25" s="13" t="s">
        <v>609</v>
      </c>
      <c r="V25" s="9"/>
      <c r="W25" s="9"/>
      <c r="X25" s="109">
        <f t="shared" si="4"/>
        <v>0</v>
      </c>
      <c r="Y25" s="98" t="s">
        <v>454</v>
      </c>
    </row>
    <row r="26" spans="1:25" ht="15.75" customHeight="1">
      <c r="A26" s="13" t="s">
        <v>610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8">
        <f t="shared" si="3"/>
        <v>0</v>
      </c>
      <c r="U26" s="13" t="s">
        <v>610</v>
      </c>
      <c r="V26" s="9"/>
      <c r="W26" s="9"/>
      <c r="X26" s="109">
        <f t="shared" si="4"/>
        <v>0</v>
      </c>
      <c r="Y26" s="98" t="s">
        <v>454</v>
      </c>
    </row>
    <row r="27" spans="1:25" ht="15.75" customHeight="1">
      <c r="A27" s="13" t="s">
        <v>611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8">
        <f t="shared" si="3"/>
        <v>0</v>
      </c>
      <c r="U27" s="13" t="s">
        <v>611</v>
      </c>
      <c r="V27" s="9"/>
      <c r="W27" s="9"/>
      <c r="X27" s="109">
        <f t="shared" si="4"/>
        <v>0</v>
      </c>
      <c r="Y27" s="98" t="s">
        <v>454</v>
      </c>
    </row>
    <row r="28" spans="1:25" ht="15.75" customHeight="1">
      <c r="A28" s="13" t="s">
        <v>612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8">
        <f t="shared" si="3"/>
        <v>0</v>
      </c>
      <c r="U28" s="13" t="s">
        <v>612</v>
      </c>
      <c r="V28" s="9"/>
      <c r="W28" s="9"/>
      <c r="X28" s="109">
        <f t="shared" si="4"/>
        <v>0</v>
      </c>
      <c r="Y28" s="98" t="s">
        <v>454</v>
      </c>
    </row>
    <row r="29" spans="1:25" ht="15.75" customHeight="1">
      <c r="A29" s="13" t="s">
        <v>613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108">
        <f t="shared" si="3"/>
        <v>0</v>
      </c>
      <c r="U29" s="13" t="s">
        <v>613</v>
      </c>
      <c r="V29" s="9"/>
      <c r="W29" s="9"/>
      <c r="X29" s="109">
        <f t="shared" si="4"/>
        <v>0</v>
      </c>
      <c r="Y29" s="98" t="s">
        <v>454</v>
      </c>
    </row>
    <row r="30" spans="1:25" ht="15.75" customHeight="1">
      <c r="A30" s="43" t="s">
        <v>74</v>
      </c>
      <c r="B30" s="61">
        <f aca="true" t="shared" si="5" ref="B30:S30">SUM(B17:B29)</f>
        <v>377</v>
      </c>
      <c r="C30" s="61">
        <f t="shared" si="5"/>
        <v>237</v>
      </c>
      <c r="D30" s="61">
        <f t="shared" si="5"/>
        <v>1672</v>
      </c>
      <c r="E30" s="61">
        <f t="shared" si="5"/>
        <v>10381</v>
      </c>
      <c r="F30" s="61">
        <f t="shared" si="5"/>
        <v>0</v>
      </c>
      <c r="G30" s="61">
        <f t="shared" si="5"/>
        <v>11383</v>
      </c>
      <c r="H30" s="61">
        <f t="shared" si="5"/>
        <v>3135</v>
      </c>
      <c r="I30" s="61">
        <f t="shared" si="5"/>
        <v>6255</v>
      </c>
      <c r="J30" s="61">
        <f t="shared" si="5"/>
        <v>1741</v>
      </c>
      <c r="K30" s="61">
        <f t="shared" si="5"/>
        <v>4929</v>
      </c>
      <c r="L30" s="61">
        <f t="shared" si="5"/>
        <v>997</v>
      </c>
      <c r="M30" s="61">
        <f t="shared" si="5"/>
        <v>13462</v>
      </c>
      <c r="N30" s="61">
        <f t="shared" si="5"/>
        <v>11828</v>
      </c>
      <c r="O30" s="61">
        <f t="shared" si="5"/>
        <v>8037</v>
      </c>
      <c r="P30" s="61">
        <f t="shared" si="5"/>
        <v>6793</v>
      </c>
      <c r="Q30" s="61">
        <f t="shared" si="5"/>
        <v>3128</v>
      </c>
      <c r="R30" s="61">
        <f t="shared" si="5"/>
        <v>9086</v>
      </c>
      <c r="S30" s="61">
        <f t="shared" si="5"/>
        <v>10107</v>
      </c>
      <c r="T30" s="110">
        <f>SUM(T17:T29)</f>
        <v>103548</v>
      </c>
      <c r="U30" s="9"/>
      <c r="V30" s="61">
        <f>SUM(V18:V29)</f>
        <v>16470</v>
      </c>
      <c r="W30" s="61">
        <f>SUM(W18:W29)</f>
        <v>31155</v>
      </c>
      <c r="X30" s="110">
        <f>SUM(V30:W30)</f>
        <v>47625</v>
      </c>
      <c r="Y3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6">
      <selection activeCell="T26" sqref="T26"/>
    </sheetView>
  </sheetViews>
  <sheetFormatPr defaultColWidth="8.72265625" defaultRowHeight="18" customHeight="1"/>
  <cols>
    <col min="1" max="1" width="8.8125" style="0" bestFit="1" customWidth="1"/>
    <col min="2" max="3" width="4.90625" style="0" bestFit="1" customWidth="1"/>
    <col min="4" max="4" width="4.2734375" style="0" bestFit="1" customWidth="1"/>
    <col min="5" max="5" width="5.54296875" style="0" bestFit="1" customWidth="1"/>
    <col min="6" max="6" width="5.6328125" style="0" bestFit="1" customWidth="1"/>
    <col min="7" max="9" width="5.54296875" style="0" bestFit="1" customWidth="1"/>
    <col min="10" max="10" width="7.453125" style="0" bestFit="1" customWidth="1"/>
    <col min="11" max="12" width="5.54296875" style="0" bestFit="1" customWidth="1"/>
    <col min="13" max="13" width="7.8125" style="0" bestFit="1" customWidth="1"/>
    <col min="14" max="15" width="5.54296875" style="0" bestFit="1" customWidth="1"/>
    <col min="16" max="16" width="8.18359375" style="0" bestFit="1" customWidth="1"/>
    <col min="17" max="17" width="7.453125" style="0" bestFit="1" customWidth="1"/>
    <col min="18" max="19" width="5.72265625" style="0" bestFit="1" customWidth="1"/>
    <col min="20" max="20" width="6.90625" style="0" bestFit="1" customWidth="1"/>
  </cols>
  <sheetData>
    <row r="1" spans="1:20" ht="18" customHeight="1">
      <c r="A1" s="2" t="s">
        <v>18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70</v>
      </c>
      <c r="G1" s="16" t="s">
        <v>6</v>
      </c>
      <c r="H1" s="16" t="s">
        <v>7</v>
      </c>
      <c r="I1" s="16" t="s">
        <v>8</v>
      </c>
      <c r="J1" s="16" t="s">
        <v>191</v>
      </c>
      <c r="K1" s="16" t="s">
        <v>11</v>
      </c>
      <c r="L1" s="16" t="s">
        <v>13</v>
      </c>
      <c r="M1" s="56" t="s">
        <v>192</v>
      </c>
      <c r="N1" s="2" t="s">
        <v>217</v>
      </c>
      <c r="O1" s="2" t="s">
        <v>218</v>
      </c>
      <c r="P1" s="107" t="s">
        <v>525</v>
      </c>
      <c r="Q1" s="2" t="s">
        <v>18</v>
      </c>
      <c r="R1" s="10" t="s">
        <v>526</v>
      </c>
      <c r="S1" s="10" t="s">
        <v>527</v>
      </c>
      <c r="T1" s="107" t="s">
        <v>528</v>
      </c>
    </row>
    <row r="2" spans="1:20" ht="18" customHeight="1">
      <c r="A2" s="13" t="s">
        <v>589</v>
      </c>
      <c r="B2" s="2">
        <v>4361</v>
      </c>
      <c r="C2" s="2">
        <v>2666</v>
      </c>
      <c r="D2" s="2">
        <v>242</v>
      </c>
      <c r="E2" s="2">
        <v>14249</v>
      </c>
      <c r="F2" s="2">
        <v>28687</v>
      </c>
      <c r="G2" s="2">
        <v>23985</v>
      </c>
      <c r="H2" s="2">
        <v>13632</v>
      </c>
      <c r="I2" s="2">
        <v>24127</v>
      </c>
      <c r="J2" s="2">
        <v>213201</v>
      </c>
      <c r="K2" s="2">
        <v>36690</v>
      </c>
      <c r="L2" s="2">
        <v>35621</v>
      </c>
      <c r="M2" s="2">
        <v>44317</v>
      </c>
      <c r="N2" s="2">
        <v>27867</v>
      </c>
      <c r="O2" s="2">
        <v>34447</v>
      </c>
      <c r="P2" s="114">
        <f aca="true" t="shared" si="0" ref="P2:P13">SUM(B2:O2)</f>
        <v>504092</v>
      </c>
      <c r="Q2" s="13" t="s">
        <v>589</v>
      </c>
      <c r="R2" s="9">
        <v>33734</v>
      </c>
      <c r="S2" s="9">
        <v>36041</v>
      </c>
      <c r="T2" s="117">
        <f>SUM(R2:S2)</f>
        <v>69775</v>
      </c>
    </row>
    <row r="3" spans="1:20" ht="18" customHeight="1">
      <c r="A3" s="13" t="s">
        <v>590</v>
      </c>
      <c r="B3" s="2">
        <v>3332</v>
      </c>
      <c r="C3" s="2">
        <v>1989</v>
      </c>
      <c r="D3" s="2">
        <v>151</v>
      </c>
      <c r="E3" s="2">
        <v>9896</v>
      </c>
      <c r="F3" s="2">
        <v>20305</v>
      </c>
      <c r="G3" s="2">
        <v>16585</v>
      </c>
      <c r="H3" s="2">
        <v>10002</v>
      </c>
      <c r="I3" s="2">
        <v>19975</v>
      </c>
      <c r="J3" s="2">
        <v>169333</v>
      </c>
      <c r="K3" s="2">
        <v>30146</v>
      </c>
      <c r="L3" s="2">
        <v>27488</v>
      </c>
      <c r="M3" s="1">
        <v>33979</v>
      </c>
      <c r="N3" s="2">
        <v>22544</v>
      </c>
      <c r="O3" s="2">
        <v>26773</v>
      </c>
      <c r="P3" s="114">
        <f t="shared" si="0"/>
        <v>392498</v>
      </c>
      <c r="Q3" s="13" t="s">
        <v>590</v>
      </c>
      <c r="R3" s="9">
        <v>25268</v>
      </c>
      <c r="S3" s="9">
        <v>27196</v>
      </c>
      <c r="T3" s="117">
        <f aca="true" t="shared" si="1" ref="T3:T13">SUM(R3:S3)</f>
        <v>52464</v>
      </c>
    </row>
    <row r="4" spans="1:20" ht="18" customHeight="1">
      <c r="A4" s="13" t="s">
        <v>591</v>
      </c>
      <c r="B4" s="2">
        <v>4630</v>
      </c>
      <c r="C4" s="2">
        <v>2966</v>
      </c>
      <c r="D4" s="2">
        <v>224</v>
      </c>
      <c r="E4" s="2">
        <v>16578</v>
      </c>
      <c r="F4" s="2">
        <v>35827</v>
      </c>
      <c r="G4" s="2">
        <v>29012</v>
      </c>
      <c r="H4" s="2">
        <v>17663</v>
      </c>
      <c r="I4" s="2">
        <v>30946</v>
      </c>
      <c r="J4" s="2">
        <v>237694</v>
      </c>
      <c r="K4" s="2">
        <v>40294</v>
      </c>
      <c r="L4" s="2">
        <v>50656</v>
      </c>
      <c r="M4" s="2">
        <v>51342</v>
      </c>
      <c r="N4" s="2">
        <v>30780</v>
      </c>
      <c r="O4" s="2">
        <v>38432</v>
      </c>
      <c r="P4" s="114">
        <f t="shared" si="0"/>
        <v>587044</v>
      </c>
      <c r="Q4" s="13" t="s">
        <v>591</v>
      </c>
      <c r="R4" s="9">
        <v>17943</v>
      </c>
      <c r="S4" s="9">
        <v>20664</v>
      </c>
      <c r="T4" s="117">
        <f t="shared" si="1"/>
        <v>38607</v>
      </c>
    </row>
    <row r="5" spans="1:20" ht="18" customHeight="1">
      <c r="A5" s="13" t="s">
        <v>592</v>
      </c>
      <c r="B5" s="2">
        <v>6059</v>
      </c>
      <c r="C5" s="2">
        <v>4660</v>
      </c>
      <c r="D5" s="2">
        <v>348</v>
      </c>
      <c r="E5" s="2">
        <v>19996</v>
      </c>
      <c r="F5" s="2">
        <v>51448</v>
      </c>
      <c r="G5" s="2">
        <v>37388</v>
      </c>
      <c r="H5" s="2">
        <v>22314</v>
      </c>
      <c r="I5" s="2">
        <v>42200</v>
      </c>
      <c r="J5" s="2">
        <v>245326</v>
      </c>
      <c r="K5" s="2">
        <v>46657</v>
      </c>
      <c r="L5" s="2">
        <v>54156</v>
      </c>
      <c r="M5" s="2">
        <v>66448</v>
      </c>
      <c r="N5" s="2">
        <v>31233</v>
      </c>
      <c r="O5" s="2">
        <v>38237</v>
      </c>
      <c r="P5" s="114">
        <f t="shared" si="0"/>
        <v>666470</v>
      </c>
      <c r="Q5" s="13" t="s">
        <v>592</v>
      </c>
      <c r="R5" s="9">
        <v>35120</v>
      </c>
      <c r="S5" s="9">
        <v>37690</v>
      </c>
      <c r="T5" s="117">
        <f t="shared" si="1"/>
        <v>72810</v>
      </c>
    </row>
    <row r="6" spans="1:20" ht="18" customHeight="1">
      <c r="A6" s="13" t="s">
        <v>593</v>
      </c>
      <c r="B6" s="2">
        <v>7549</v>
      </c>
      <c r="C6" s="2">
        <v>6171</v>
      </c>
      <c r="D6" s="2">
        <v>250</v>
      </c>
      <c r="E6" s="2">
        <v>22496</v>
      </c>
      <c r="F6" s="2">
        <v>67329</v>
      </c>
      <c r="G6" s="2">
        <v>45485</v>
      </c>
      <c r="H6" s="2">
        <v>26721</v>
      </c>
      <c r="I6" s="2">
        <v>56160</v>
      </c>
      <c r="J6" s="2">
        <v>272278</v>
      </c>
      <c r="K6" s="2">
        <v>58409</v>
      </c>
      <c r="L6" s="2">
        <v>67092</v>
      </c>
      <c r="M6" s="2">
        <v>85490</v>
      </c>
      <c r="N6" s="2">
        <v>37281</v>
      </c>
      <c r="O6" s="2">
        <v>46622</v>
      </c>
      <c r="P6" s="114">
        <f t="shared" si="0"/>
        <v>799333</v>
      </c>
      <c r="Q6" s="13" t="s">
        <v>593</v>
      </c>
      <c r="R6" s="9">
        <v>44324</v>
      </c>
      <c r="S6" s="9">
        <v>42338</v>
      </c>
      <c r="T6" s="117">
        <f t="shared" si="1"/>
        <v>86662</v>
      </c>
    </row>
    <row r="7" spans="1:20" ht="18" customHeight="1">
      <c r="A7" s="13" t="s">
        <v>594</v>
      </c>
      <c r="B7" s="2">
        <v>8225</v>
      </c>
      <c r="C7" s="2">
        <v>8454</v>
      </c>
      <c r="D7" s="2">
        <v>249</v>
      </c>
      <c r="E7" s="2">
        <v>25180</v>
      </c>
      <c r="F7" s="2">
        <v>73377</v>
      </c>
      <c r="G7" s="2">
        <v>53673</v>
      </c>
      <c r="H7" s="2">
        <v>29585</v>
      </c>
      <c r="I7" s="2">
        <v>68738</v>
      </c>
      <c r="J7" s="2">
        <v>298138</v>
      </c>
      <c r="K7" s="2">
        <v>74878</v>
      </c>
      <c r="L7" s="2">
        <v>68473</v>
      </c>
      <c r="M7" s="2">
        <v>106030</v>
      </c>
      <c r="N7" s="2">
        <v>45072</v>
      </c>
      <c r="O7" s="2">
        <v>52833</v>
      </c>
      <c r="P7" s="114">
        <f t="shared" si="0"/>
        <v>912905</v>
      </c>
      <c r="Q7" s="13" t="s">
        <v>594</v>
      </c>
      <c r="R7" s="9">
        <v>53270</v>
      </c>
      <c r="S7" s="9">
        <v>52551</v>
      </c>
      <c r="T7" s="117">
        <f t="shared" si="1"/>
        <v>105821</v>
      </c>
    </row>
    <row r="8" spans="1:20" ht="18" customHeight="1">
      <c r="A8" s="13" t="s">
        <v>595</v>
      </c>
      <c r="B8" s="2">
        <v>8985</v>
      </c>
      <c r="C8" s="2">
        <v>9457</v>
      </c>
      <c r="D8" s="2">
        <v>261</v>
      </c>
      <c r="E8" s="2">
        <v>18879</v>
      </c>
      <c r="F8" s="2">
        <v>10782</v>
      </c>
      <c r="G8" s="2">
        <v>44679</v>
      </c>
      <c r="H8" s="2">
        <v>15307</v>
      </c>
      <c r="I8" s="2">
        <v>55671</v>
      </c>
      <c r="J8" s="2">
        <v>264318</v>
      </c>
      <c r="K8" s="2">
        <v>86108</v>
      </c>
      <c r="L8" s="2">
        <v>31464</v>
      </c>
      <c r="M8" s="2">
        <v>80618</v>
      </c>
      <c r="N8" s="2">
        <v>50763</v>
      </c>
      <c r="O8" s="2">
        <v>48840</v>
      </c>
      <c r="P8" s="114">
        <f t="shared" si="0"/>
        <v>726132</v>
      </c>
      <c r="Q8" s="13" t="s">
        <v>595</v>
      </c>
      <c r="R8" s="9">
        <v>53324</v>
      </c>
      <c r="S8" s="9">
        <v>49756</v>
      </c>
      <c r="T8" s="117">
        <f t="shared" si="1"/>
        <v>103080</v>
      </c>
    </row>
    <row r="9" spans="1:20" ht="18" customHeight="1">
      <c r="A9" s="13" t="s">
        <v>596</v>
      </c>
      <c r="B9" s="2">
        <v>8650</v>
      </c>
      <c r="C9" s="2">
        <v>8714</v>
      </c>
      <c r="D9" s="2">
        <v>252</v>
      </c>
      <c r="E9" s="2">
        <v>18568</v>
      </c>
      <c r="F9" s="2">
        <v>30287</v>
      </c>
      <c r="G9" s="2">
        <v>42914</v>
      </c>
      <c r="H9" s="2">
        <v>13394</v>
      </c>
      <c r="I9" s="2">
        <v>50919</v>
      </c>
      <c r="J9" s="2">
        <v>240435</v>
      </c>
      <c r="K9" s="2">
        <v>76543</v>
      </c>
      <c r="L9" s="2">
        <v>26821</v>
      </c>
      <c r="M9" s="2">
        <v>76074</v>
      </c>
      <c r="N9" s="2">
        <v>45932</v>
      </c>
      <c r="O9" s="2">
        <v>41557</v>
      </c>
      <c r="P9" s="114">
        <f t="shared" si="0"/>
        <v>681060</v>
      </c>
      <c r="Q9" s="13" t="s">
        <v>596</v>
      </c>
      <c r="R9" s="9">
        <v>33619</v>
      </c>
      <c r="S9" s="9">
        <v>5251</v>
      </c>
      <c r="T9" s="117">
        <f t="shared" si="1"/>
        <v>38870</v>
      </c>
    </row>
    <row r="10" spans="1:20" ht="18" customHeight="1">
      <c r="A10" s="13" t="s">
        <v>597</v>
      </c>
      <c r="B10" s="2">
        <v>7756</v>
      </c>
      <c r="C10" s="2">
        <v>7644</v>
      </c>
      <c r="D10" s="2">
        <v>251</v>
      </c>
      <c r="E10" s="2">
        <v>21953</v>
      </c>
      <c r="F10" s="2">
        <v>66117</v>
      </c>
      <c r="G10" s="2">
        <v>48103</v>
      </c>
      <c r="H10" s="2">
        <v>26672</v>
      </c>
      <c r="I10" s="2">
        <v>59187</v>
      </c>
      <c r="J10" s="2">
        <v>276583</v>
      </c>
      <c r="K10" s="2">
        <v>70809</v>
      </c>
      <c r="L10" s="2">
        <v>58111</v>
      </c>
      <c r="M10" s="2">
        <v>95271</v>
      </c>
      <c r="N10" s="2">
        <v>40755</v>
      </c>
      <c r="O10" s="2">
        <v>49047</v>
      </c>
      <c r="P10" s="114">
        <f t="shared" si="0"/>
        <v>828259</v>
      </c>
      <c r="Q10" s="13" t="s">
        <v>597</v>
      </c>
      <c r="R10" s="9">
        <v>31831</v>
      </c>
      <c r="S10" s="9">
        <v>11092</v>
      </c>
      <c r="T10" s="117">
        <f t="shared" si="1"/>
        <v>42923</v>
      </c>
    </row>
    <row r="11" spans="1:20" ht="18" customHeight="1">
      <c r="A11" s="13" t="s">
        <v>598</v>
      </c>
      <c r="B11" s="2">
        <v>7347</v>
      </c>
      <c r="C11" s="2">
        <v>6486</v>
      </c>
      <c r="D11" s="2">
        <v>253</v>
      </c>
      <c r="E11" s="2">
        <v>19975</v>
      </c>
      <c r="F11" s="2">
        <v>57928</v>
      </c>
      <c r="G11" s="2">
        <v>43384</v>
      </c>
      <c r="H11" s="2">
        <v>26057</v>
      </c>
      <c r="I11" s="2">
        <v>54683</v>
      </c>
      <c r="J11" s="2">
        <v>250422</v>
      </c>
      <c r="K11" s="2">
        <v>61279</v>
      </c>
      <c r="L11" s="2">
        <v>60342</v>
      </c>
      <c r="M11" s="2">
        <v>83617</v>
      </c>
      <c r="N11" s="2">
        <v>36643</v>
      </c>
      <c r="O11" s="2">
        <v>45977</v>
      </c>
      <c r="P11" s="114">
        <f t="shared" si="0"/>
        <v>754393</v>
      </c>
      <c r="Q11" s="13" t="s">
        <v>598</v>
      </c>
      <c r="R11" s="9">
        <v>48566</v>
      </c>
      <c r="S11" s="9">
        <v>49043</v>
      </c>
      <c r="T11" s="117">
        <f t="shared" si="1"/>
        <v>97609</v>
      </c>
    </row>
    <row r="12" spans="1:20" ht="18" customHeight="1">
      <c r="A12" s="13" t="s">
        <v>599</v>
      </c>
      <c r="B12" s="2">
        <v>5126</v>
      </c>
      <c r="C12" s="2">
        <v>3637</v>
      </c>
      <c r="D12" s="2">
        <v>209</v>
      </c>
      <c r="E12" s="2">
        <v>15263</v>
      </c>
      <c r="F12" s="2">
        <v>35147</v>
      </c>
      <c r="G12" s="2">
        <v>27453</v>
      </c>
      <c r="H12" s="2">
        <v>17879</v>
      </c>
      <c r="I12" s="2">
        <v>30950</v>
      </c>
      <c r="J12" s="2">
        <v>185942</v>
      </c>
      <c r="K12" s="2">
        <v>36144</v>
      </c>
      <c r="L12" s="2">
        <v>44517</v>
      </c>
      <c r="M12" s="2">
        <v>53814</v>
      </c>
      <c r="N12" s="2">
        <v>27465</v>
      </c>
      <c r="O12" s="2">
        <v>34662</v>
      </c>
      <c r="P12" s="114">
        <f t="shared" si="0"/>
        <v>518208</v>
      </c>
      <c r="Q12" s="13" t="s">
        <v>599</v>
      </c>
      <c r="R12" s="9">
        <v>48372</v>
      </c>
      <c r="S12" s="9">
        <v>49305</v>
      </c>
      <c r="T12" s="117">
        <f t="shared" si="1"/>
        <v>97677</v>
      </c>
    </row>
    <row r="13" spans="1:20" ht="18" customHeight="1">
      <c r="A13" s="13" t="s">
        <v>600</v>
      </c>
      <c r="B13" s="2">
        <v>5378</v>
      </c>
      <c r="C13" s="2">
        <v>3582</v>
      </c>
      <c r="D13" s="2">
        <v>244</v>
      </c>
      <c r="E13" s="2">
        <v>16647</v>
      </c>
      <c r="F13" s="2">
        <v>39013</v>
      </c>
      <c r="G13" s="2">
        <v>29239</v>
      </c>
      <c r="H13" s="2">
        <v>17962</v>
      </c>
      <c r="I13" s="2">
        <v>32227</v>
      </c>
      <c r="J13" s="2">
        <v>220138</v>
      </c>
      <c r="K13" s="2">
        <v>40230</v>
      </c>
      <c r="L13" s="2">
        <v>46953</v>
      </c>
      <c r="M13" s="2">
        <v>55862</v>
      </c>
      <c r="N13" s="2">
        <v>30529</v>
      </c>
      <c r="O13" s="2">
        <v>38598</v>
      </c>
      <c r="P13" s="114">
        <f t="shared" si="0"/>
        <v>576602</v>
      </c>
      <c r="Q13" s="13" t="s">
        <v>600</v>
      </c>
      <c r="R13" s="9">
        <v>38767</v>
      </c>
      <c r="S13" s="9">
        <v>44736</v>
      </c>
      <c r="T13" s="117">
        <f t="shared" si="1"/>
        <v>83503</v>
      </c>
    </row>
    <row r="14" spans="1:20" ht="18" customHeight="1">
      <c r="A14" s="52" t="s">
        <v>74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15"/>
      <c r="Q14" s="2"/>
      <c r="R14" s="111"/>
      <c r="S14" s="111"/>
      <c r="T14" s="112"/>
    </row>
    <row r="15" spans="1:20" ht="18" customHeight="1">
      <c r="A15" s="82" t="s">
        <v>295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113"/>
      <c r="Q15" s="2"/>
      <c r="R15" s="9"/>
      <c r="S15" s="9"/>
      <c r="T15" s="108"/>
    </row>
    <row r="16" spans="1:20" ht="18" customHeight="1">
      <c r="A16" s="82" t="s">
        <v>297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113"/>
      <c r="Q16" s="2"/>
      <c r="R16" s="9"/>
      <c r="S16" s="9"/>
      <c r="T16" s="108"/>
    </row>
    <row r="17" spans="1:20" ht="18" customHeight="1">
      <c r="A17" s="82" t="s">
        <v>299</v>
      </c>
      <c r="B17" s="86">
        <v>3.8</v>
      </c>
      <c r="C17" s="86">
        <v>3.8</v>
      </c>
      <c r="D17" s="86">
        <v>3.8</v>
      </c>
      <c r="E17" s="86">
        <v>3.8</v>
      </c>
      <c r="F17" s="86">
        <v>3.8</v>
      </c>
      <c r="G17" s="86">
        <v>3.8</v>
      </c>
      <c r="H17" s="86">
        <v>3.8</v>
      </c>
      <c r="I17" s="86">
        <v>3.8</v>
      </c>
      <c r="J17" s="86">
        <v>3.8</v>
      </c>
      <c r="K17" s="86">
        <v>3.8</v>
      </c>
      <c r="L17" s="86">
        <v>3.8</v>
      </c>
      <c r="M17" s="86">
        <v>3.8</v>
      </c>
      <c r="N17" s="86">
        <v>3.8</v>
      </c>
      <c r="O17" s="86">
        <v>3.8</v>
      </c>
      <c r="P17" s="113">
        <v>3.8</v>
      </c>
      <c r="Q17" s="2"/>
      <c r="R17" s="77">
        <v>3.8</v>
      </c>
      <c r="S17" s="77">
        <v>3.8</v>
      </c>
      <c r="T17" s="113">
        <v>3.8</v>
      </c>
    </row>
    <row r="20" spans="1:20" ht="24.75" customHeight="1">
      <c r="A20" s="2" t="s">
        <v>18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70</v>
      </c>
      <c r="G20" s="16" t="s">
        <v>6</v>
      </c>
      <c r="H20" s="16" t="s">
        <v>7</v>
      </c>
      <c r="I20" s="16" t="s">
        <v>8</v>
      </c>
      <c r="J20" s="16" t="s">
        <v>191</v>
      </c>
      <c r="K20" s="16" t="s">
        <v>11</v>
      </c>
      <c r="L20" s="16" t="s">
        <v>13</v>
      </c>
      <c r="M20" s="56" t="s">
        <v>192</v>
      </c>
      <c r="N20" s="2" t="s">
        <v>217</v>
      </c>
      <c r="O20" s="2" t="s">
        <v>218</v>
      </c>
      <c r="P20" s="107" t="s">
        <v>525</v>
      </c>
      <c r="Q20" s="2" t="s">
        <v>18</v>
      </c>
      <c r="R20" s="10" t="s">
        <v>526</v>
      </c>
      <c r="S20" s="10" t="s">
        <v>527</v>
      </c>
      <c r="T20" s="107" t="s">
        <v>528</v>
      </c>
    </row>
    <row r="21" spans="1:20" ht="18" customHeight="1">
      <c r="A21" s="13" t="s">
        <v>602</v>
      </c>
      <c r="B21" s="2">
        <v>4011</v>
      </c>
      <c r="C21" s="2">
        <v>2328</v>
      </c>
      <c r="D21" s="2">
        <v>157</v>
      </c>
      <c r="E21" s="2">
        <v>9841</v>
      </c>
      <c r="F21" s="2">
        <v>23700</v>
      </c>
      <c r="G21" s="2">
        <v>17529</v>
      </c>
      <c r="H21" s="2">
        <v>11436</v>
      </c>
      <c r="I21" s="2">
        <v>19313</v>
      </c>
      <c r="J21" s="2">
        <v>167891</v>
      </c>
      <c r="K21" s="2">
        <v>34033</v>
      </c>
      <c r="L21" s="2">
        <v>28703</v>
      </c>
      <c r="M21" s="2">
        <v>36396</v>
      </c>
      <c r="N21" s="2">
        <v>23204</v>
      </c>
      <c r="O21" s="2">
        <v>27801</v>
      </c>
      <c r="P21" s="114">
        <f aca="true" t="shared" si="2" ref="P21:P32">SUM(B21:O21)</f>
        <v>406343</v>
      </c>
      <c r="Q21" s="13" t="s">
        <v>602</v>
      </c>
      <c r="R21" s="9">
        <v>35390</v>
      </c>
      <c r="S21" s="9">
        <v>40836</v>
      </c>
      <c r="T21" s="117">
        <f>SUM(R21:S21)</f>
        <v>76226</v>
      </c>
    </row>
    <row r="22" spans="1:20" ht="18" customHeight="1">
      <c r="A22" s="13" t="s">
        <v>603</v>
      </c>
      <c r="B22" s="2">
        <v>4268</v>
      </c>
      <c r="C22" s="2">
        <v>3009</v>
      </c>
      <c r="D22" s="2">
        <v>175</v>
      </c>
      <c r="E22" s="2">
        <v>9045</v>
      </c>
      <c r="F22" s="2">
        <v>20200</v>
      </c>
      <c r="G22" s="2">
        <v>17551</v>
      </c>
      <c r="H22" s="2">
        <v>9716</v>
      </c>
      <c r="I22" s="2">
        <v>19984</v>
      </c>
      <c r="J22" s="2">
        <v>157416</v>
      </c>
      <c r="K22" s="2">
        <v>33809</v>
      </c>
      <c r="L22" s="2">
        <v>25841</v>
      </c>
      <c r="M22" s="1">
        <v>32098</v>
      </c>
      <c r="N22" s="2">
        <v>21621</v>
      </c>
      <c r="O22" s="2">
        <v>26747</v>
      </c>
      <c r="P22" s="114">
        <f t="shared" si="2"/>
        <v>381480</v>
      </c>
      <c r="Q22" s="13" t="s">
        <v>603</v>
      </c>
      <c r="R22" s="9">
        <v>20351</v>
      </c>
      <c r="S22" s="9">
        <v>77334</v>
      </c>
      <c r="T22" s="117">
        <f aca="true" t="shared" si="3" ref="T22:T32">SUM(R22:S22)</f>
        <v>97685</v>
      </c>
    </row>
    <row r="23" spans="1:20" ht="18" customHeight="1">
      <c r="A23" s="13" t="s">
        <v>604</v>
      </c>
      <c r="B23" s="2">
        <v>5143</v>
      </c>
      <c r="C23" s="2">
        <v>3372</v>
      </c>
      <c r="D23" s="2">
        <v>220</v>
      </c>
      <c r="E23" s="2">
        <v>16214</v>
      </c>
      <c r="F23" s="2">
        <v>39994</v>
      </c>
      <c r="G23" s="2">
        <v>29838</v>
      </c>
      <c r="H23" s="2">
        <v>19081</v>
      </c>
      <c r="I23" s="2">
        <v>32563</v>
      </c>
      <c r="J23" s="2">
        <v>190522</v>
      </c>
      <c r="K23" s="2">
        <v>41548</v>
      </c>
      <c r="L23" s="2">
        <v>49542</v>
      </c>
      <c r="M23" s="2">
        <v>57166</v>
      </c>
      <c r="N23" s="2">
        <v>25456</v>
      </c>
      <c r="O23" s="2">
        <v>37586</v>
      </c>
      <c r="P23" s="114">
        <f t="shared" si="2"/>
        <v>548245</v>
      </c>
      <c r="Q23" s="13" t="s">
        <v>604</v>
      </c>
      <c r="R23" s="9">
        <v>17723</v>
      </c>
      <c r="S23" s="9">
        <v>21742</v>
      </c>
      <c r="T23" s="117">
        <f t="shared" si="3"/>
        <v>39465</v>
      </c>
    </row>
    <row r="24" spans="1:20" ht="18" customHeight="1">
      <c r="A24" s="13" t="s">
        <v>605</v>
      </c>
      <c r="B24" s="2">
        <v>5171</v>
      </c>
      <c r="C24" s="2">
        <v>3506</v>
      </c>
      <c r="D24" s="2">
        <v>216</v>
      </c>
      <c r="E24" s="2">
        <v>16707</v>
      </c>
      <c r="F24" s="2">
        <v>44869</v>
      </c>
      <c r="G24" s="2">
        <v>33811</v>
      </c>
      <c r="H24" s="2">
        <v>20400</v>
      </c>
      <c r="I24" s="2">
        <v>38426</v>
      </c>
      <c r="J24" s="2">
        <v>202841</v>
      </c>
      <c r="K24" s="2">
        <v>44253</v>
      </c>
      <c r="L24" s="2">
        <v>51712</v>
      </c>
      <c r="M24" s="2">
        <v>57584</v>
      </c>
      <c r="N24" s="2">
        <v>25613</v>
      </c>
      <c r="O24" s="2">
        <v>36667</v>
      </c>
      <c r="P24" s="114">
        <f t="shared" si="2"/>
        <v>581776</v>
      </c>
      <c r="Q24" s="13" t="s">
        <v>605</v>
      </c>
      <c r="R24" s="9">
        <v>34905</v>
      </c>
      <c r="S24" s="9">
        <v>41530</v>
      </c>
      <c r="T24" s="117">
        <f t="shared" si="3"/>
        <v>76435</v>
      </c>
    </row>
    <row r="25" spans="1:20" ht="18" customHeight="1">
      <c r="A25" s="13" t="s">
        <v>606</v>
      </c>
      <c r="B25" s="2">
        <v>7399</v>
      </c>
      <c r="C25" s="2">
        <v>6357</v>
      </c>
      <c r="D25" s="2">
        <v>240</v>
      </c>
      <c r="E25" s="2">
        <v>22630</v>
      </c>
      <c r="F25" s="2">
        <v>76398</v>
      </c>
      <c r="G25" s="2">
        <v>54585</v>
      </c>
      <c r="H25" s="2">
        <v>31127</v>
      </c>
      <c r="I25" s="2">
        <v>66759</v>
      </c>
      <c r="J25" s="2">
        <v>246704</v>
      </c>
      <c r="K25" s="2">
        <v>68624</v>
      </c>
      <c r="L25" s="2">
        <v>73339</v>
      </c>
      <c r="M25" s="2">
        <v>99619</v>
      </c>
      <c r="N25" s="2">
        <v>33784</v>
      </c>
      <c r="O25" s="2">
        <v>47355</v>
      </c>
      <c r="P25" s="114">
        <f t="shared" si="2"/>
        <v>834920</v>
      </c>
      <c r="Q25" s="13" t="s">
        <v>606</v>
      </c>
      <c r="R25" s="9">
        <v>34792</v>
      </c>
      <c r="S25" s="9">
        <v>37955</v>
      </c>
      <c r="T25" s="117">
        <f t="shared" si="3"/>
        <v>72747</v>
      </c>
    </row>
    <row r="26" spans="1:20" ht="18" customHeight="1">
      <c r="A26" s="13" t="s">
        <v>607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14">
        <f t="shared" si="2"/>
        <v>0</v>
      </c>
      <c r="Q26" s="13" t="s">
        <v>607</v>
      </c>
      <c r="R26" s="9">
        <v>54583</v>
      </c>
      <c r="S26" s="9">
        <v>58718</v>
      </c>
      <c r="T26" s="117">
        <f t="shared" si="3"/>
        <v>113301</v>
      </c>
    </row>
    <row r="27" spans="1:20" ht="18" customHeight="1">
      <c r="A27" s="13" t="s">
        <v>608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14">
        <f t="shared" si="2"/>
        <v>0</v>
      </c>
      <c r="Q27" s="13" t="s">
        <v>608</v>
      </c>
      <c r="R27" s="9"/>
      <c r="S27" s="9"/>
      <c r="T27" s="117">
        <f t="shared" si="3"/>
        <v>0</v>
      </c>
    </row>
    <row r="28" spans="1:20" ht="18" customHeight="1">
      <c r="A28" s="13" t="s">
        <v>609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14">
        <f t="shared" si="2"/>
        <v>0</v>
      </c>
      <c r="Q28" s="13" t="s">
        <v>609</v>
      </c>
      <c r="R28" s="9"/>
      <c r="S28" s="9"/>
      <c r="T28" s="117">
        <f t="shared" si="3"/>
        <v>0</v>
      </c>
    </row>
    <row r="29" spans="1:20" ht="18" customHeight="1">
      <c r="A29" s="13" t="s">
        <v>610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14">
        <f t="shared" si="2"/>
        <v>0</v>
      </c>
      <c r="Q29" s="13" t="s">
        <v>610</v>
      </c>
      <c r="R29" s="9"/>
      <c r="S29" s="9"/>
      <c r="T29" s="117">
        <f t="shared" si="3"/>
        <v>0</v>
      </c>
    </row>
    <row r="30" spans="1:20" ht="18" customHeight="1">
      <c r="A30" s="13" t="s">
        <v>611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14">
        <f t="shared" si="2"/>
        <v>0</v>
      </c>
      <c r="Q30" s="13" t="s">
        <v>611</v>
      </c>
      <c r="R30" s="9"/>
      <c r="S30" s="9"/>
      <c r="T30" s="117">
        <f t="shared" si="3"/>
        <v>0</v>
      </c>
    </row>
    <row r="31" spans="1:20" ht="18" customHeight="1">
      <c r="A31" s="13" t="s">
        <v>612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14">
        <f t="shared" si="2"/>
        <v>0</v>
      </c>
      <c r="Q31" s="13" t="s">
        <v>612</v>
      </c>
      <c r="R31" s="9"/>
      <c r="S31" s="9"/>
      <c r="T31" s="117">
        <f t="shared" si="3"/>
        <v>0</v>
      </c>
    </row>
    <row r="32" spans="1:20" ht="18" customHeight="1">
      <c r="A32" s="13" t="s">
        <v>613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14">
        <f t="shared" si="2"/>
        <v>0</v>
      </c>
      <c r="Q32" s="13" t="s">
        <v>613</v>
      </c>
      <c r="R32" s="9"/>
      <c r="S32" s="9"/>
      <c r="T32" s="117">
        <f t="shared" si="3"/>
        <v>0</v>
      </c>
    </row>
    <row r="33" spans="1:20" ht="18" customHeight="1">
      <c r="A33" s="52" t="s">
        <v>74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15"/>
      <c r="Q33" s="2"/>
      <c r="R33" s="111"/>
      <c r="S33" s="111"/>
      <c r="T33" s="112"/>
    </row>
    <row r="34" spans="1:20" ht="18" customHeight="1">
      <c r="A34" s="82" t="s">
        <v>295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113"/>
      <c r="Q34" s="2"/>
      <c r="R34" s="9"/>
      <c r="S34" s="9"/>
      <c r="T34" s="108"/>
    </row>
    <row r="35" spans="1:20" ht="18" customHeight="1">
      <c r="A35" s="82" t="s">
        <v>297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113"/>
      <c r="Q35" s="2"/>
      <c r="R35" s="9"/>
      <c r="S35" s="9"/>
      <c r="T35" s="108"/>
    </row>
    <row r="36" spans="1:20" ht="18" customHeight="1">
      <c r="A36" s="82" t="s">
        <v>299</v>
      </c>
      <c r="B36" s="86">
        <v>3.8</v>
      </c>
      <c r="C36" s="86">
        <v>3.8</v>
      </c>
      <c r="D36" s="86">
        <v>3.8</v>
      </c>
      <c r="E36" s="86">
        <v>3.8</v>
      </c>
      <c r="F36" s="86">
        <v>3.8</v>
      </c>
      <c r="G36" s="86">
        <v>3.8</v>
      </c>
      <c r="H36" s="86">
        <v>3.8</v>
      </c>
      <c r="I36" s="86">
        <v>3.8</v>
      </c>
      <c r="J36" s="86">
        <v>3.8</v>
      </c>
      <c r="K36" s="86">
        <v>3.8</v>
      </c>
      <c r="L36" s="86">
        <v>3.8</v>
      </c>
      <c r="M36" s="86">
        <v>3.8</v>
      </c>
      <c r="N36" s="86">
        <v>3.8</v>
      </c>
      <c r="O36" s="86">
        <v>3.8</v>
      </c>
      <c r="P36" s="113">
        <v>3.8</v>
      </c>
      <c r="Q36" s="2"/>
      <c r="R36" s="77">
        <v>3.8</v>
      </c>
      <c r="S36" s="77">
        <v>3.8</v>
      </c>
      <c r="T36" s="113">
        <v>3.8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3">
      <selection activeCell="Y24" sqref="Y24"/>
    </sheetView>
  </sheetViews>
  <sheetFormatPr defaultColWidth="4.8125" defaultRowHeight="15.75" customHeight="1"/>
  <cols>
    <col min="1" max="1" width="6.8125" style="0" customWidth="1"/>
    <col min="2" max="15" width="4.8125" style="0" customWidth="1"/>
    <col min="16" max="16" width="4.90625" style="0" bestFit="1" customWidth="1"/>
    <col min="17" max="21" width="4.8125" style="0" customWidth="1"/>
    <col min="22" max="22" width="6.2734375" style="0" customWidth="1"/>
    <col min="23" max="23" width="6.8125" style="0" customWidth="1"/>
    <col min="24" max="27" width="7.2734375" style="0" customWidth="1"/>
  </cols>
  <sheetData>
    <row r="1" spans="1:27" ht="15.75" customHeight="1">
      <c r="A1" s="9" t="s">
        <v>18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217</v>
      </c>
      <c r="U1" s="9" t="s">
        <v>218</v>
      </c>
      <c r="V1" s="107" t="s">
        <v>536</v>
      </c>
      <c r="W1" s="9" t="s">
        <v>18</v>
      </c>
      <c r="X1" s="9" t="s">
        <v>526</v>
      </c>
      <c r="Y1" s="9" t="s">
        <v>527</v>
      </c>
      <c r="Z1" s="107" t="s">
        <v>528</v>
      </c>
      <c r="AA1" s="9" t="s">
        <v>405</v>
      </c>
    </row>
    <row r="2" spans="1:27" ht="15.75" customHeight="1">
      <c r="A2" s="13" t="s">
        <v>577</v>
      </c>
      <c r="B2" s="16">
        <v>692</v>
      </c>
      <c r="C2" s="2">
        <v>786</v>
      </c>
      <c r="D2" s="9">
        <v>124</v>
      </c>
      <c r="E2" s="9">
        <v>803</v>
      </c>
      <c r="F2" s="9">
        <v>1228</v>
      </c>
      <c r="G2" s="9">
        <v>1605</v>
      </c>
      <c r="H2" s="9">
        <v>2588</v>
      </c>
      <c r="I2" s="9">
        <v>1302</v>
      </c>
      <c r="J2" s="9">
        <v>2628</v>
      </c>
      <c r="K2" s="9">
        <v>1136</v>
      </c>
      <c r="L2" s="9">
        <v>1566</v>
      </c>
      <c r="M2" s="9">
        <v>3220</v>
      </c>
      <c r="N2" s="9">
        <v>0</v>
      </c>
      <c r="O2" s="9">
        <v>6485</v>
      </c>
      <c r="P2" s="9">
        <v>3005</v>
      </c>
      <c r="Q2" s="9">
        <v>3094</v>
      </c>
      <c r="R2" s="9">
        <v>1363</v>
      </c>
      <c r="S2" s="9">
        <v>885</v>
      </c>
      <c r="T2" s="9">
        <v>3475</v>
      </c>
      <c r="U2" s="9">
        <v>3032</v>
      </c>
      <c r="V2" s="108">
        <f aca="true" t="shared" si="0" ref="V2:V13">SUM(B2:U2)</f>
        <v>39017</v>
      </c>
      <c r="W2" s="13" t="s">
        <v>577</v>
      </c>
      <c r="X2" s="9">
        <v>4448</v>
      </c>
      <c r="Y2" s="9">
        <v>6456</v>
      </c>
      <c r="Z2" s="108">
        <f>SUM(X2:Y2)</f>
        <v>10904</v>
      </c>
      <c r="AA2" s="98"/>
    </row>
    <row r="3" spans="1:27" ht="15.75" customHeight="1">
      <c r="A3" s="13" t="s">
        <v>578</v>
      </c>
      <c r="B3" s="16">
        <v>378</v>
      </c>
      <c r="C3" s="2">
        <v>438</v>
      </c>
      <c r="D3" s="9">
        <v>94</v>
      </c>
      <c r="E3" s="9">
        <v>1279</v>
      </c>
      <c r="F3" s="9">
        <v>926</v>
      </c>
      <c r="G3" s="9">
        <v>1219</v>
      </c>
      <c r="H3" s="9">
        <v>1962</v>
      </c>
      <c r="I3" s="9">
        <v>1062</v>
      </c>
      <c r="J3" s="9">
        <v>2064</v>
      </c>
      <c r="K3" s="9">
        <v>616</v>
      </c>
      <c r="L3" s="9">
        <v>1055</v>
      </c>
      <c r="M3" s="9">
        <v>1489</v>
      </c>
      <c r="N3" s="9">
        <v>0</v>
      </c>
      <c r="O3" s="9">
        <v>3672</v>
      </c>
      <c r="P3" s="9">
        <v>1999</v>
      </c>
      <c r="Q3" s="9">
        <v>2001</v>
      </c>
      <c r="R3" s="9">
        <v>793</v>
      </c>
      <c r="S3" s="9">
        <v>612</v>
      </c>
      <c r="T3" s="9">
        <v>1898</v>
      </c>
      <c r="U3" s="9">
        <v>2215</v>
      </c>
      <c r="V3" s="108">
        <f t="shared" si="0"/>
        <v>25772</v>
      </c>
      <c r="W3" s="13" t="s">
        <v>578</v>
      </c>
      <c r="X3" s="9">
        <v>6898</v>
      </c>
      <c r="Y3" s="9">
        <v>8259</v>
      </c>
      <c r="Z3" s="108">
        <f aca="true" t="shared" si="1" ref="Z3:Z13">SUM(X3:Y3)</f>
        <v>15157</v>
      </c>
      <c r="AA3" s="98"/>
    </row>
    <row r="4" spans="1:27" ht="15.75" customHeight="1">
      <c r="A4" s="13" t="s">
        <v>579</v>
      </c>
      <c r="B4" s="16">
        <v>744</v>
      </c>
      <c r="C4" s="2">
        <v>900</v>
      </c>
      <c r="D4" s="9">
        <v>144</v>
      </c>
      <c r="E4" s="9">
        <v>1672</v>
      </c>
      <c r="F4" s="9">
        <v>1651</v>
      </c>
      <c r="G4" s="9">
        <v>2082</v>
      </c>
      <c r="H4" s="9">
        <v>3675</v>
      </c>
      <c r="I4" s="9">
        <v>2013</v>
      </c>
      <c r="J4" s="9">
        <v>3514</v>
      </c>
      <c r="K4" s="9">
        <v>1413</v>
      </c>
      <c r="L4" s="9">
        <v>2663</v>
      </c>
      <c r="M4" s="9">
        <v>4331</v>
      </c>
      <c r="N4" s="9">
        <v>0</v>
      </c>
      <c r="O4" s="9">
        <v>8763</v>
      </c>
      <c r="P4" s="9">
        <v>3708</v>
      </c>
      <c r="Q4" s="9">
        <v>4561</v>
      </c>
      <c r="R4" s="9">
        <v>1666</v>
      </c>
      <c r="S4" s="9">
        <v>1200</v>
      </c>
      <c r="T4" s="9">
        <v>4060</v>
      </c>
      <c r="U4" s="8">
        <v>4323</v>
      </c>
      <c r="V4" s="108">
        <f t="shared" si="0"/>
        <v>53083</v>
      </c>
      <c r="W4" s="13" t="s">
        <v>579</v>
      </c>
      <c r="X4" s="9">
        <v>3977</v>
      </c>
      <c r="Y4" s="9">
        <v>2985</v>
      </c>
      <c r="Z4" s="108">
        <f t="shared" si="1"/>
        <v>6962</v>
      </c>
      <c r="AA4" s="98"/>
    </row>
    <row r="5" spans="1:27" ht="15.75" customHeight="1">
      <c r="A5" s="13" t="s">
        <v>580</v>
      </c>
      <c r="B5" s="9">
        <v>524</v>
      </c>
      <c r="C5" s="92">
        <v>646</v>
      </c>
      <c r="D5" s="9">
        <v>123</v>
      </c>
      <c r="E5" s="9">
        <v>1129</v>
      </c>
      <c r="F5" s="9">
        <v>1302</v>
      </c>
      <c r="G5" s="9">
        <v>1635</v>
      </c>
      <c r="H5" s="9">
        <v>2725</v>
      </c>
      <c r="I5" s="9">
        <v>1599</v>
      </c>
      <c r="J5" s="9">
        <v>2552</v>
      </c>
      <c r="K5" s="9">
        <v>992</v>
      </c>
      <c r="L5" s="9">
        <v>1960</v>
      </c>
      <c r="M5" s="9">
        <v>3233</v>
      </c>
      <c r="N5" s="9">
        <v>0</v>
      </c>
      <c r="O5" s="9">
        <v>6064</v>
      </c>
      <c r="P5" s="9">
        <v>3869</v>
      </c>
      <c r="Q5" s="9">
        <v>3304</v>
      </c>
      <c r="R5" s="9">
        <v>1223</v>
      </c>
      <c r="S5" s="9">
        <v>890</v>
      </c>
      <c r="T5" s="9">
        <v>2947</v>
      </c>
      <c r="U5" s="9">
        <v>3230</v>
      </c>
      <c r="V5" s="108">
        <f t="shared" si="0"/>
        <v>39947</v>
      </c>
      <c r="W5" s="13" t="s">
        <v>580</v>
      </c>
      <c r="X5" s="9">
        <v>6454</v>
      </c>
      <c r="Y5" s="9">
        <v>6574</v>
      </c>
      <c r="Z5" s="108">
        <f t="shared" si="1"/>
        <v>13028</v>
      </c>
      <c r="AA5" s="98"/>
    </row>
    <row r="6" spans="1:27" ht="15.75" customHeight="1">
      <c r="A6" s="13" t="s">
        <v>581</v>
      </c>
      <c r="B6" s="9">
        <v>499</v>
      </c>
      <c r="C6" s="9">
        <v>645</v>
      </c>
      <c r="D6" s="9">
        <v>106</v>
      </c>
      <c r="E6" s="9">
        <v>1135</v>
      </c>
      <c r="F6" s="9">
        <v>1495</v>
      </c>
      <c r="G6" s="9">
        <v>1983</v>
      </c>
      <c r="H6" s="9">
        <v>3018</v>
      </c>
      <c r="I6" s="9">
        <v>1622</v>
      </c>
      <c r="J6" s="9">
        <v>3163</v>
      </c>
      <c r="K6" s="9">
        <v>887</v>
      </c>
      <c r="L6" s="9">
        <v>1749</v>
      </c>
      <c r="M6" s="9">
        <v>3404</v>
      </c>
      <c r="N6" s="9">
        <v>0</v>
      </c>
      <c r="O6" s="9">
        <v>6064</v>
      </c>
      <c r="P6" s="9">
        <v>2972</v>
      </c>
      <c r="Q6" s="9">
        <v>3701</v>
      </c>
      <c r="R6" s="9">
        <v>1350</v>
      </c>
      <c r="S6" s="9">
        <v>926</v>
      </c>
      <c r="T6" s="9">
        <v>3089</v>
      </c>
      <c r="U6" s="9">
        <v>3287</v>
      </c>
      <c r="V6" s="108">
        <f t="shared" si="0"/>
        <v>41095</v>
      </c>
      <c r="W6" s="13" t="s">
        <v>581</v>
      </c>
      <c r="X6" s="9">
        <v>5825</v>
      </c>
      <c r="Y6" s="9">
        <v>8344</v>
      </c>
      <c r="Z6" s="108">
        <f t="shared" si="1"/>
        <v>14169</v>
      </c>
      <c r="AA6" s="98"/>
    </row>
    <row r="7" spans="1:27" ht="15.75" customHeight="1">
      <c r="A7" s="13" t="s">
        <v>582</v>
      </c>
      <c r="B7" s="9">
        <v>865</v>
      </c>
      <c r="C7" s="9">
        <v>454</v>
      </c>
      <c r="D7" s="9">
        <v>92</v>
      </c>
      <c r="E7" s="9">
        <v>803</v>
      </c>
      <c r="F7" s="9">
        <v>767</v>
      </c>
      <c r="G7" s="9">
        <v>979</v>
      </c>
      <c r="H7" s="9">
        <v>1865</v>
      </c>
      <c r="I7" s="9">
        <v>963</v>
      </c>
      <c r="J7" s="9">
        <v>1778</v>
      </c>
      <c r="K7" s="9">
        <v>669</v>
      </c>
      <c r="L7" s="9">
        <v>1301</v>
      </c>
      <c r="M7" s="9">
        <v>2146</v>
      </c>
      <c r="N7" s="9">
        <v>0</v>
      </c>
      <c r="O7" s="9">
        <v>7283</v>
      </c>
      <c r="P7" s="9">
        <v>2464</v>
      </c>
      <c r="Q7" s="9">
        <v>2532</v>
      </c>
      <c r="R7" s="9">
        <v>933</v>
      </c>
      <c r="S7" s="9">
        <v>609</v>
      </c>
      <c r="T7" s="9">
        <v>2190</v>
      </c>
      <c r="U7" s="9">
        <v>2191</v>
      </c>
      <c r="V7" s="108">
        <f t="shared" si="0"/>
        <v>30884</v>
      </c>
      <c r="W7" s="13" t="s">
        <v>582</v>
      </c>
      <c r="X7" s="9">
        <v>5359</v>
      </c>
      <c r="Y7" s="9">
        <v>7727</v>
      </c>
      <c r="Z7" s="108">
        <f t="shared" si="1"/>
        <v>13086</v>
      </c>
      <c r="AA7" s="98"/>
    </row>
    <row r="8" spans="1:27" ht="15.75" customHeight="1">
      <c r="A8" s="13" t="s">
        <v>583</v>
      </c>
      <c r="B8" s="9">
        <v>1093</v>
      </c>
      <c r="C8" s="9">
        <v>355</v>
      </c>
      <c r="D8" s="9">
        <v>67</v>
      </c>
      <c r="E8" s="9">
        <v>324</v>
      </c>
      <c r="F8" s="9">
        <v>0</v>
      </c>
      <c r="G8" s="9">
        <v>2</v>
      </c>
      <c r="H8" s="9">
        <v>749</v>
      </c>
      <c r="I8" s="9">
        <v>240</v>
      </c>
      <c r="J8" s="9">
        <v>885</v>
      </c>
      <c r="K8" s="9">
        <v>300</v>
      </c>
      <c r="L8" s="9">
        <v>199</v>
      </c>
      <c r="M8" s="9">
        <v>1222</v>
      </c>
      <c r="N8" s="9">
        <v>0</v>
      </c>
      <c r="O8" s="9">
        <v>3672</v>
      </c>
      <c r="P8" s="9">
        <v>12</v>
      </c>
      <c r="Q8" s="9">
        <v>1130</v>
      </c>
      <c r="R8" s="9">
        <v>506</v>
      </c>
      <c r="S8" s="9">
        <v>254</v>
      </c>
      <c r="T8" s="9">
        <v>1534</v>
      </c>
      <c r="U8" s="9">
        <v>1119</v>
      </c>
      <c r="V8" s="108">
        <f t="shared" si="0"/>
        <v>13663</v>
      </c>
      <c r="W8" s="13" t="s">
        <v>583</v>
      </c>
      <c r="X8" s="9">
        <v>4746</v>
      </c>
      <c r="Y8" s="9">
        <v>6504</v>
      </c>
      <c r="Z8" s="108">
        <f t="shared" si="1"/>
        <v>11250</v>
      </c>
      <c r="AA8" s="98"/>
    </row>
    <row r="9" spans="1:27" ht="15.75" customHeight="1">
      <c r="A9" s="13" t="s">
        <v>584</v>
      </c>
      <c r="B9" s="9">
        <v>1340</v>
      </c>
      <c r="C9" s="9">
        <v>361</v>
      </c>
      <c r="D9" s="9">
        <v>70</v>
      </c>
      <c r="E9" s="9">
        <v>308</v>
      </c>
      <c r="F9" s="9">
        <v>48</v>
      </c>
      <c r="G9" s="9">
        <v>162</v>
      </c>
      <c r="H9" s="9">
        <v>699</v>
      </c>
      <c r="I9" s="9">
        <v>194</v>
      </c>
      <c r="J9" s="9">
        <v>871</v>
      </c>
      <c r="K9" s="9">
        <v>290</v>
      </c>
      <c r="L9" s="9">
        <v>173</v>
      </c>
      <c r="M9" s="9">
        <v>1039</v>
      </c>
      <c r="N9" s="9">
        <v>0</v>
      </c>
      <c r="O9" s="9">
        <v>1399</v>
      </c>
      <c r="P9" s="9">
        <v>174</v>
      </c>
      <c r="Q9" s="9">
        <v>1074</v>
      </c>
      <c r="R9" s="9">
        <v>458</v>
      </c>
      <c r="S9" s="9">
        <v>227</v>
      </c>
      <c r="T9" s="9">
        <v>1287</v>
      </c>
      <c r="U9" s="9">
        <v>1003</v>
      </c>
      <c r="V9" s="108">
        <v>11178</v>
      </c>
      <c r="W9" s="13" t="s">
        <v>584</v>
      </c>
      <c r="X9" s="9">
        <v>3568</v>
      </c>
      <c r="Y9" s="9">
        <v>2743</v>
      </c>
      <c r="Z9" s="108">
        <f t="shared" si="1"/>
        <v>6311</v>
      </c>
      <c r="AA9" s="98"/>
    </row>
    <row r="10" spans="1:27" ht="15.75" customHeight="1">
      <c r="A10" s="13" t="s">
        <v>585</v>
      </c>
      <c r="B10" s="9">
        <v>0</v>
      </c>
      <c r="C10" s="9">
        <v>399</v>
      </c>
      <c r="D10" s="9">
        <v>90.75</v>
      </c>
      <c r="E10" s="9">
        <v>498</v>
      </c>
      <c r="F10" s="9">
        <v>704</v>
      </c>
      <c r="G10" s="9">
        <v>900</v>
      </c>
      <c r="H10" s="9">
        <v>1409</v>
      </c>
      <c r="I10" s="9">
        <v>670</v>
      </c>
      <c r="J10" s="9">
        <v>1660</v>
      </c>
      <c r="K10" s="9">
        <v>554</v>
      </c>
      <c r="L10" s="9">
        <v>951</v>
      </c>
      <c r="M10" s="9">
        <v>1999</v>
      </c>
      <c r="N10" s="9">
        <v>0</v>
      </c>
      <c r="O10" s="9">
        <v>3149</v>
      </c>
      <c r="P10" s="9">
        <v>1964</v>
      </c>
      <c r="Q10" s="9">
        <v>2091</v>
      </c>
      <c r="R10" s="9">
        <v>754</v>
      </c>
      <c r="S10" s="9">
        <v>438.79</v>
      </c>
      <c r="T10" s="9">
        <v>1932</v>
      </c>
      <c r="U10" s="9">
        <v>1998.2</v>
      </c>
      <c r="V10" s="108">
        <f t="shared" si="0"/>
        <v>22161.74</v>
      </c>
      <c r="W10" s="13" t="s">
        <v>585</v>
      </c>
      <c r="X10" s="9">
        <v>2540</v>
      </c>
      <c r="Y10" s="9">
        <v>0</v>
      </c>
      <c r="Z10" s="108">
        <f t="shared" si="1"/>
        <v>2540</v>
      </c>
      <c r="AA10" s="98"/>
    </row>
    <row r="11" spans="1:27" ht="15.75" customHeight="1">
      <c r="A11" s="13" t="s">
        <v>586</v>
      </c>
      <c r="B11" s="9">
        <v>0</v>
      </c>
      <c r="C11" s="9">
        <v>566</v>
      </c>
      <c r="D11" s="9">
        <v>97</v>
      </c>
      <c r="E11" s="9">
        <v>783</v>
      </c>
      <c r="F11" s="9">
        <v>1193</v>
      </c>
      <c r="G11" s="9">
        <v>1513</v>
      </c>
      <c r="H11" s="9">
        <v>2221</v>
      </c>
      <c r="I11" s="9">
        <v>1032</v>
      </c>
      <c r="J11" s="9">
        <v>2352</v>
      </c>
      <c r="K11" s="9">
        <v>715</v>
      </c>
      <c r="L11" s="9">
        <v>1275</v>
      </c>
      <c r="M11" s="9">
        <v>2394</v>
      </c>
      <c r="N11" s="9">
        <v>0</v>
      </c>
      <c r="O11" s="9">
        <v>4545</v>
      </c>
      <c r="P11" s="9">
        <v>2524</v>
      </c>
      <c r="Q11" s="9">
        <v>2672</v>
      </c>
      <c r="R11" s="9">
        <v>1115</v>
      </c>
      <c r="S11" s="9">
        <v>645</v>
      </c>
      <c r="T11" s="9">
        <v>2320</v>
      </c>
      <c r="U11" s="9">
        <v>2562</v>
      </c>
      <c r="V11" s="108">
        <f t="shared" si="0"/>
        <v>30524</v>
      </c>
      <c r="W11" s="13" t="s">
        <v>586</v>
      </c>
      <c r="X11" s="9">
        <v>3878</v>
      </c>
      <c r="Y11" s="9">
        <v>4938</v>
      </c>
      <c r="Z11" s="108">
        <f t="shared" si="1"/>
        <v>8816</v>
      </c>
      <c r="AA11" s="98"/>
    </row>
    <row r="12" spans="1:27" ht="15.75" customHeight="1">
      <c r="A12" s="13" t="s">
        <v>587</v>
      </c>
      <c r="B12" s="9">
        <v>0</v>
      </c>
      <c r="C12" s="9">
        <v>747</v>
      </c>
      <c r="D12" s="9">
        <v>146</v>
      </c>
      <c r="E12" s="9">
        <v>1026</v>
      </c>
      <c r="F12" s="9">
        <v>1255</v>
      </c>
      <c r="G12" s="9">
        <v>1546</v>
      </c>
      <c r="H12" s="9">
        <v>2780</v>
      </c>
      <c r="I12" s="9">
        <v>1242</v>
      </c>
      <c r="J12" s="9">
        <v>2979</v>
      </c>
      <c r="K12" s="9">
        <v>1010</v>
      </c>
      <c r="L12" s="9">
        <v>1823</v>
      </c>
      <c r="M12" s="9">
        <v>3372</v>
      </c>
      <c r="N12" s="9">
        <v>0</v>
      </c>
      <c r="O12" s="9">
        <v>4545</v>
      </c>
      <c r="P12" s="9">
        <v>2626</v>
      </c>
      <c r="Q12" s="9">
        <v>3380</v>
      </c>
      <c r="R12" s="9">
        <v>1435</v>
      </c>
      <c r="S12" s="9">
        <v>831</v>
      </c>
      <c r="T12" s="9">
        <v>3039</v>
      </c>
      <c r="U12" s="9">
        <v>3072</v>
      </c>
      <c r="V12" s="108">
        <f t="shared" si="0"/>
        <v>36854</v>
      </c>
      <c r="W12" s="13" t="s">
        <v>587</v>
      </c>
      <c r="X12" s="9">
        <v>4441</v>
      </c>
      <c r="Y12" s="9">
        <v>7289</v>
      </c>
      <c r="Z12" s="108">
        <f t="shared" si="1"/>
        <v>11730</v>
      </c>
      <c r="AA12" s="98"/>
    </row>
    <row r="13" spans="1:27" ht="15.75" customHeight="1">
      <c r="A13" s="13" t="s">
        <v>588</v>
      </c>
      <c r="B13" s="9">
        <v>0</v>
      </c>
      <c r="C13" s="9">
        <v>968</v>
      </c>
      <c r="D13" s="9">
        <v>153</v>
      </c>
      <c r="E13" s="9">
        <v>1334</v>
      </c>
      <c r="F13" s="9">
        <v>2058</v>
      </c>
      <c r="G13" s="9">
        <v>1838</v>
      </c>
      <c r="H13" s="9">
        <v>4140</v>
      </c>
      <c r="I13" s="9">
        <v>1957</v>
      </c>
      <c r="J13" s="9">
        <v>3876</v>
      </c>
      <c r="K13" s="9">
        <v>1265</v>
      </c>
      <c r="L13" s="9">
        <v>2300</v>
      </c>
      <c r="M13" s="9">
        <v>4847</v>
      </c>
      <c r="N13" s="9">
        <v>0</v>
      </c>
      <c r="O13" s="9">
        <v>7763</v>
      </c>
      <c r="P13" s="9">
        <v>3110</v>
      </c>
      <c r="Q13" s="9">
        <v>4419</v>
      </c>
      <c r="R13" s="9">
        <v>1833</v>
      </c>
      <c r="S13" s="9">
        <v>1065</v>
      </c>
      <c r="T13" s="9">
        <v>3679</v>
      </c>
      <c r="U13" s="9">
        <v>4441</v>
      </c>
      <c r="V13" s="108">
        <f t="shared" si="0"/>
        <v>51046</v>
      </c>
      <c r="W13" s="13" t="s">
        <v>588</v>
      </c>
      <c r="X13" s="9">
        <v>6599</v>
      </c>
      <c r="Y13" s="9">
        <v>9941</v>
      </c>
      <c r="Z13" s="108">
        <f t="shared" si="1"/>
        <v>16540</v>
      </c>
      <c r="AA13" s="98"/>
    </row>
    <row r="14" spans="1:27" ht="15.75" customHeight="1">
      <c r="A14" s="15" t="s">
        <v>74</v>
      </c>
      <c r="B14" s="14">
        <f aca="true" t="shared" si="2" ref="B14:V14">SUM(B2:B13)</f>
        <v>6135</v>
      </c>
      <c r="C14" s="14">
        <f t="shared" si="2"/>
        <v>7265</v>
      </c>
      <c r="D14" s="14">
        <f t="shared" si="2"/>
        <v>1306.75</v>
      </c>
      <c r="E14" s="14">
        <f t="shared" si="2"/>
        <v>11094</v>
      </c>
      <c r="F14" s="14">
        <f t="shared" si="2"/>
        <v>12627</v>
      </c>
      <c r="G14" s="14">
        <f t="shared" si="2"/>
        <v>15464</v>
      </c>
      <c r="H14" s="14">
        <f t="shared" si="2"/>
        <v>27831</v>
      </c>
      <c r="I14" s="14">
        <f t="shared" si="2"/>
        <v>13896</v>
      </c>
      <c r="J14" s="14">
        <f t="shared" si="2"/>
        <v>28322</v>
      </c>
      <c r="K14" s="14">
        <f t="shared" si="2"/>
        <v>9847</v>
      </c>
      <c r="L14" s="14">
        <f t="shared" si="2"/>
        <v>17015</v>
      </c>
      <c r="M14" s="14">
        <f t="shared" si="2"/>
        <v>32696</v>
      </c>
      <c r="N14" s="14">
        <f t="shared" si="2"/>
        <v>0</v>
      </c>
      <c r="O14" s="14">
        <f t="shared" si="2"/>
        <v>63404</v>
      </c>
      <c r="P14" s="14">
        <f t="shared" si="2"/>
        <v>28427</v>
      </c>
      <c r="Q14" s="14">
        <f t="shared" si="2"/>
        <v>33959</v>
      </c>
      <c r="R14" s="14">
        <f t="shared" si="2"/>
        <v>13429</v>
      </c>
      <c r="S14" s="14">
        <f t="shared" si="2"/>
        <v>8582.79</v>
      </c>
      <c r="T14" s="14">
        <f t="shared" si="2"/>
        <v>31450</v>
      </c>
      <c r="U14" s="14">
        <f t="shared" si="2"/>
        <v>32473.2</v>
      </c>
      <c r="V14" s="116">
        <f t="shared" si="2"/>
        <v>395224.74</v>
      </c>
      <c r="W14" s="9"/>
      <c r="X14" s="61">
        <f>SUM(X2:X13)</f>
        <v>58733</v>
      </c>
      <c r="Y14" s="61">
        <f>SUM(Y2:Y13)</f>
        <v>71760</v>
      </c>
      <c r="Z14" s="110">
        <f>SUM(X14:Y14)</f>
        <v>130493</v>
      </c>
      <c r="AA14" s="98"/>
    </row>
    <row r="17" spans="1:27" ht="15.75" customHeight="1">
      <c r="A17" s="9" t="s">
        <v>18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9" t="s">
        <v>11</v>
      </c>
      <c r="N17" s="9" t="s">
        <v>12</v>
      </c>
      <c r="O17" s="9" t="s">
        <v>13</v>
      </c>
      <c r="P17" s="9" t="s">
        <v>14</v>
      </c>
      <c r="Q17" s="9" t="s">
        <v>15</v>
      </c>
      <c r="R17" s="9" t="s">
        <v>16</v>
      </c>
      <c r="S17" s="9" t="s">
        <v>17</v>
      </c>
      <c r="T17" s="9" t="s">
        <v>217</v>
      </c>
      <c r="U17" s="9" t="s">
        <v>218</v>
      </c>
      <c r="V17" s="107" t="s">
        <v>536</v>
      </c>
      <c r="W17" s="9" t="s">
        <v>18</v>
      </c>
      <c r="X17" s="9" t="s">
        <v>526</v>
      </c>
      <c r="Y17" s="9" t="s">
        <v>527</v>
      </c>
      <c r="Z17" s="107" t="s">
        <v>528</v>
      </c>
      <c r="AA17" s="9" t="s">
        <v>405</v>
      </c>
    </row>
    <row r="18" spans="1:27" ht="15.75" customHeight="1">
      <c r="A18" s="13" t="s">
        <v>614</v>
      </c>
      <c r="B18" s="16">
        <v>269</v>
      </c>
      <c r="C18" s="2">
        <v>660</v>
      </c>
      <c r="D18" s="9">
        <v>93</v>
      </c>
      <c r="E18" s="9">
        <v>761</v>
      </c>
      <c r="F18" s="9">
        <v>962</v>
      </c>
      <c r="G18" s="9">
        <v>1781</v>
      </c>
      <c r="H18" s="9">
        <v>1888</v>
      </c>
      <c r="I18" s="9">
        <v>853</v>
      </c>
      <c r="J18" s="9">
        <v>2136</v>
      </c>
      <c r="K18" s="9">
        <v>654</v>
      </c>
      <c r="L18" s="9">
        <v>1174</v>
      </c>
      <c r="M18" s="9">
        <v>1817</v>
      </c>
      <c r="N18" s="9">
        <v>0</v>
      </c>
      <c r="O18" s="9">
        <v>4907</v>
      </c>
      <c r="P18" s="9">
        <v>1592</v>
      </c>
      <c r="Q18" s="9">
        <v>2040</v>
      </c>
      <c r="R18" s="9">
        <v>914</v>
      </c>
      <c r="S18" s="9">
        <v>625</v>
      </c>
      <c r="T18" s="9">
        <v>2214</v>
      </c>
      <c r="U18" s="9">
        <v>2108</v>
      </c>
      <c r="V18" s="108">
        <f aca="true" t="shared" si="3" ref="V18:V29">SUM(B18:U18)</f>
        <v>27448</v>
      </c>
      <c r="W18" s="13" t="s">
        <v>614</v>
      </c>
      <c r="X18" s="9">
        <v>6818</v>
      </c>
      <c r="Y18" s="9">
        <v>9072</v>
      </c>
      <c r="Z18" s="108">
        <f>SUM(X18:Y18)</f>
        <v>15890</v>
      </c>
      <c r="AA18" s="98"/>
    </row>
    <row r="19" spans="1:27" ht="15.75" customHeight="1">
      <c r="A19" s="13" t="s">
        <v>615</v>
      </c>
      <c r="B19" s="16">
        <v>269</v>
      </c>
      <c r="C19" s="2">
        <v>660</v>
      </c>
      <c r="D19" s="9">
        <v>85</v>
      </c>
      <c r="E19" s="9">
        <v>761</v>
      </c>
      <c r="F19" s="9">
        <v>657</v>
      </c>
      <c r="G19" s="9">
        <v>745</v>
      </c>
      <c r="H19" s="9">
        <v>1329</v>
      </c>
      <c r="I19" s="9">
        <v>382</v>
      </c>
      <c r="J19" s="9">
        <v>1681</v>
      </c>
      <c r="K19" s="9">
        <v>461</v>
      </c>
      <c r="L19" s="9">
        <v>982</v>
      </c>
      <c r="M19" s="9">
        <v>2507</v>
      </c>
      <c r="N19" s="9">
        <v>0</v>
      </c>
      <c r="O19" s="9">
        <v>3578</v>
      </c>
      <c r="P19" s="9">
        <v>652</v>
      </c>
      <c r="Q19" s="9">
        <v>1718</v>
      </c>
      <c r="R19" s="9">
        <v>735</v>
      </c>
      <c r="S19" s="9">
        <v>625</v>
      </c>
      <c r="T19" s="9">
        <v>2217</v>
      </c>
      <c r="U19" s="9">
        <v>1872</v>
      </c>
      <c r="V19" s="108">
        <f t="shared" si="3"/>
        <v>21916</v>
      </c>
      <c r="W19" s="13" t="s">
        <v>615</v>
      </c>
      <c r="X19" s="9">
        <v>5464</v>
      </c>
      <c r="Y19" s="9">
        <v>7321</v>
      </c>
      <c r="Z19" s="108">
        <f aca="true" t="shared" si="4" ref="Z19:Z29">SUM(X19:Y19)</f>
        <v>12785</v>
      </c>
      <c r="AA19" s="98"/>
    </row>
    <row r="20" spans="1:27" ht="15.75" customHeight="1">
      <c r="A20" s="13" t="s">
        <v>616</v>
      </c>
      <c r="B20" s="16">
        <v>637</v>
      </c>
      <c r="C20" s="2">
        <v>907</v>
      </c>
      <c r="D20" s="9">
        <v>139</v>
      </c>
      <c r="E20" s="9">
        <v>1262</v>
      </c>
      <c r="F20" s="9">
        <v>1692</v>
      </c>
      <c r="G20" s="9">
        <v>1963</v>
      </c>
      <c r="H20" s="9">
        <v>3199</v>
      </c>
      <c r="I20" s="9">
        <v>1867</v>
      </c>
      <c r="J20" s="9">
        <v>3668</v>
      </c>
      <c r="K20" s="9">
        <v>1053</v>
      </c>
      <c r="L20" s="9">
        <v>1722</v>
      </c>
      <c r="M20" s="9">
        <v>3907</v>
      </c>
      <c r="N20" s="9">
        <v>0</v>
      </c>
      <c r="O20" s="9">
        <v>8640</v>
      </c>
      <c r="P20" s="9">
        <v>2318</v>
      </c>
      <c r="Q20" s="9">
        <v>2782</v>
      </c>
      <c r="R20" s="9">
        <v>1383</v>
      </c>
      <c r="S20" s="9">
        <v>932</v>
      </c>
      <c r="T20" s="9">
        <v>2906</v>
      </c>
      <c r="U20" s="8">
        <v>3994</v>
      </c>
      <c r="V20" s="108">
        <f t="shared" si="3"/>
        <v>44971</v>
      </c>
      <c r="W20" s="13" t="s">
        <v>616</v>
      </c>
      <c r="X20" s="9">
        <v>3977</v>
      </c>
      <c r="Y20" s="9">
        <v>2985</v>
      </c>
      <c r="Z20" s="108">
        <f t="shared" si="4"/>
        <v>6962</v>
      </c>
      <c r="AA20" s="98"/>
    </row>
    <row r="21" spans="1:27" ht="15.75" customHeight="1">
      <c r="A21" s="13" t="s">
        <v>617</v>
      </c>
      <c r="B21" s="9">
        <v>542</v>
      </c>
      <c r="C21" s="92">
        <v>817</v>
      </c>
      <c r="D21" s="9">
        <v>141</v>
      </c>
      <c r="E21" s="9">
        <v>1112</v>
      </c>
      <c r="F21" s="9">
        <v>1581</v>
      </c>
      <c r="G21" s="9">
        <v>1969</v>
      </c>
      <c r="H21" s="9">
        <v>3330</v>
      </c>
      <c r="I21" s="9">
        <v>1611</v>
      </c>
      <c r="J21" s="9">
        <v>3482</v>
      </c>
      <c r="K21" s="9">
        <v>1023</v>
      </c>
      <c r="L21" s="9">
        <v>1868</v>
      </c>
      <c r="M21" s="9">
        <v>3837</v>
      </c>
      <c r="N21" s="9">
        <v>0</v>
      </c>
      <c r="O21" s="9">
        <v>6064</v>
      </c>
      <c r="P21" s="9">
        <v>2169</v>
      </c>
      <c r="Q21" s="9">
        <v>3328</v>
      </c>
      <c r="R21" s="9">
        <v>1289</v>
      </c>
      <c r="S21" s="9">
        <v>906</v>
      </c>
      <c r="T21" s="9">
        <v>2728</v>
      </c>
      <c r="U21" s="9">
        <v>3901</v>
      </c>
      <c r="V21" s="108">
        <f t="shared" si="3"/>
        <v>41698</v>
      </c>
      <c r="W21" s="13" t="s">
        <v>617</v>
      </c>
      <c r="X21" s="9">
        <v>7246</v>
      </c>
      <c r="Y21" s="9">
        <v>8921</v>
      </c>
      <c r="Z21" s="108">
        <f t="shared" si="4"/>
        <v>16167</v>
      </c>
      <c r="AA21" s="98"/>
    </row>
    <row r="22" spans="1:27" ht="15.75" customHeight="1">
      <c r="A22" s="13" t="s">
        <v>618</v>
      </c>
      <c r="B22" s="9">
        <v>349</v>
      </c>
      <c r="C22" s="9">
        <v>559</v>
      </c>
      <c r="D22" s="9">
        <v>109</v>
      </c>
      <c r="E22" s="9">
        <v>763</v>
      </c>
      <c r="F22" s="9">
        <v>1171</v>
      </c>
      <c r="G22" s="9">
        <v>1368</v>
      </c>
      <c r="H22" s="9">
        <v>2068</v>
      </c>
      <c r="I22" s="9">
        <v>1230</v>
      </c>
      <c r="J22" s="9">
        <v>2223</v>
      </c>
      <c r="K22" s="9">
        <v>752</v>
      </c>
      <c r="L22" s="9">
        <v>1332</v>
      </c>
      <c r="M22" s="9">
        <v>2953</v>
      </c>
      <c r="N22" s="9">
        <v>0</v>
      </c>
      <c r="O22" s="9">
        <v>5529</v>
      </c>
      <c r="P22" s="9">
        <v>1668</v>
      </c>
      <c r="Q22" s="9">
        <v>2343</v>
      </c>
      <c r="R22" s="9">
        <v>954</v>
      </c>
      <c r="S22" s="9">
        <v>649</v>
      </c>
      <c r="T22" s="9">
        <v>2074</v>
      </c>
      <c r="U22" s="9">
        <v>2258</v>
      </c>
      <c r="V22" s="108">
        <f t="shared" si="3"/>
        <v>30352</v>
      </c>
      <c r="W22" s="13" t="s">
        <v>618</v>
      </c>
      <c r="X22" s="9">
        <v>6243</v>
      </c>
      <c r="Y22" s="9">
        <v>8355</v>
      </c>
      <c r="Z22" s="108">
        <f t="shared" si="4"/>
        <v>14598</v>
      </c>
      <c r="AA22" s="98"/>
    </row>
    <row r="23" spans="1:27" ht="15.75" customHeight="1">
      <c r="A23" s="13" t="s">
        <v>619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8">
        <f t="shared" si="3"/>
        <v>0</v>
      </c>
      <c r="W23" s="13" t="s">
        <v>619</v>
      </c>
      <c r="X23" s="9">
        <v>4256</v>
      </c>
      <c r="Y23" s="9">
        <v>6747</v>
      </c>
      <c r="Z23" s="108">
        <f t="shared" si="4"/>
        <v>11003</v>
      </c>
      <c r="AA23" s="98"/>
    </row>
    <row r="24" spans="1:27" ht="15.75" customHeight="1">
      <c r="A24" s="13" t="s">
        <v>620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8">
        <f t="shared" si="3"/>
        <v>0</v>
      </c>
      <c r="W24" s="13" t="s">
        <v>620</v>
      </c>
      <c r="X24" s="9"/>
      <c r="Y24" s="9"/>
      <c r="Z24" s="108">
        <f t="shared" si="4"/>
        <v>0</v>
      </c>
      <c r="AA24" s="98"/>
    </row>
    <row r="25" spans="1:27" ht="15.75" customHeight="1">
      <c r="A25" s="13" t="s">
        <v>621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8">
        <f t="shared" si="3"/>
        <v>0</v>
      </c>
      <c r="W25" s="13" t="s">
        <v>621</v>
      </c>
      <c r="X25" s="9"/>
      <c r="Y25" s="9"/>
      <c r="Z25" s="108">
        <f t="shared" si="4"/>
        <v>0</v>
      </c>
      <c r="AA25" s="98"/>
    </row>
    <row r="26" spans="1:27" ht="15.75" customHeight="1">
      <c r="A26" s="13" t="s">
        <v>622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8">
        <f t="shared" si="3"/>
        <v>0</v>
      </c>
      <c r="W26" s="13" t="s">
        <v>622</v>
      </c>
      <c r="X26" s="9"/>
      <c r="Y26" s="9"/>
      <c r="Z26" s="108">
        <f t="shared" si="4"/>
        <v>0</v>
      </c>
      <c r="AA26" s="98"/>
    </row>
    <row r="27" spans="1:27" ht="15.75" customHeight="1">
      <c r="A27" s="13" t="s">
        <v>623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8">
        <f t="shared" si="3"/>
        <v>0</v>
      </c>
      <c r="W27" s="13" t="s">
        <v>623</v>
      </c>
      <c r="X27" s="9"/>
      <c r="Y27" s="9"/>
      <c r="Z27" s="108">
        <f t="shared" si="4"/>
        <v>0</v>
      </c>
      <c r="AA27" s="98"/>
    </row>
    <row r="28" spans="1:27" ht="15.75" customHeight="1">
      <c r="A28" s="13" t="s">
        <v>624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8">
        <f t="shared" si="3"/>
        <v>0</v>
      </c>
      <c r="W28" s="13" t="s">
        <v>624</v>
      </c>
      <c r="X28" s="9"/>
      <c r="Y28" s="9"/>
      <c r="Z28" s="108">
        <f t="shared" si="4"/>
        <v>0</v>
      </c>
      <c r="AA28" s="98"/>
    </row>
    <row r="29" spans="1:27" ht="15.75" customHeight="1">
      <c r="A29" s="13" t="s">
        <v>625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8">
        <f t="shared" si="3"/>
        <v>0</v>
      </c>
      <c r="W29" s="13" t="s">
        <v>625</v>
      </c>
      <c r="X29" s="9"/>
      <c r="Y29" s="9"/>
      <c r="Z29" s="108">
        <f t="shared" si="4"/>
        <v>0</v>
      </c>
      <c r="AA29" s="98"/>
    </row>
    <row r="30" spans="1:27" ht="15.75" customHeight="1">
      <c r="A30" s="15" t="s">
        <v>74</v>
      </c>
      <c r="B30" s="14">
        <f aca="true" t="shared" si="5" ref="B30:V30">SUM(B18:B29)</f>
        <v>2066</v>
      </c>
      <c r="C30" s="14">
        <f t="shared" si="5"/>
        <v>3603</v>
      </c>
      <c r="D30" s="14">
        <f t="shared" si="5"/>
        <v>567</v>
      </c>
      <c r="E30" s="14">
        <f t="shared" si="5"/>
        <v>4659</v>
      </c>
      <c r="F30" s="14">
        <f t="shared" si="5"/>
        <v>6063</v>
      </c>
      <c r="G30" s="14">
        <f t="shared" si="5"/>
        <v>7826</v>
      </c>
      <c r="H30" s="14">
        <f t="shared" si="5"/>
        <v>11814</v>
      </c>
      <c r="I30" s="14">
        <f t="shared" si="5"/>
        <v>5943</v>
      </c>
      <c r="J30" s="14">
        <f t="shared" si="5"/>
        <v>13190</v>
      </c>
      <c r="K30" s="14">
        <f t="shared" si="5"/>
        <v>3943</v>
      </c>
      <c r="L30" s="14">
        <f t="shared" si="5"/>
        <v>7078</v>
      </c>
      <c r="M30" s="14">
        <f t="shared" si="5"/>
        <v>15021</v>
      </c>
      <c r="N30" s="14">
        <f t="shared" si="5"/>
        <v>0</v>
      </c>
      <c r="O30" s="14">
        <f t="shared" si="5"/>
        <v>28718</v>
      </c>
      <c r="P30" s="14">
        <f t="shared" si="5"/>
        <v>8399</v>
      </c>
      <c r="Q30" s="14">
        <f t="shared" si="5"/>
        <v>12211</v>
      </c>
      <c r="R30" s="14">
        <f t="shared" si="5"/>
        <v>5275</v>
      </c>
      <c r="S30" s="14">
        <f t="shared" si="5"/>
        <v>3737</v>
      </c>
      <c r="T30" s="14">
        <f t="shared" si="5"/>
        <v>12139</v>
      </c>
      <c r="U30" s="14">
        <f t="shared" si="5"/>
        <v>14133</v>
      </c>
      <c r="V30" s="116">
        <f t="shared" si="5"/>
        <v>166385</v>
      </c>
      <c r="W30" s="15" t="s">
        <v>74</v>
      </c>
      <c r="X30" s="61">
        <f>SUM(X18:X29)</f>
        <v>34004</v>
      </c>
      <c r="Y30" s="61">
        <f>SUM(Y18:Y29)</f>
        <v>43401</v>
      </c>
      <c r="Z30" s="110">
        <f>SUM(X30:Y30)</f>
        <v>77405</v>
      </c>
      <c r="AA3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meo2</dc:creator>
  <cp:keywords/>
  <dc:description/>
  <cp:lastModifiedBy>志方</cp:lastModifiedBy>
  <cp:lastPrinted>2013-02-26T00:52:09Z</cp:lastPrinted>
  <dcterms:created xsi:type="dcterms:W3CDTF">2003-10-30T06:20:10Z</dcterms:created>
  <dcterms:modified xsi:type="dcterms:W3CDTF">2020-06-22T01:11:39Z</dcterms:modified>
  <cp:category/>
  <cp:version/>
  <cp:contentType/>
  <cp:contentStatus/>
</cp:coreProperties>
</file>